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otog\Desktop\Presupuestos Anuales y Liquidaciones\Red de Transparencia\"/>
    </mc:Choice>
  </mc:AlternateContent>
  <bookViews>
    <workbookView xWindow="0" yWindow="0" windowWidth="20490" windowHeight="7755"/>
  </bookViews>
  <sheets>
    <sheet name="Liquidación Presupuestaria 2020" sheetId="5" r:id="rId1"/>
  </sheets>
  <calcPr calcId="152511"/>
</workbook>
</file>

<file path=xl/calcChain.xml><?xml version="1.0" encoding="utf-8"?>
<calcChain xmlns="http://schemas.openxmlformats.org/spreadsheetml/2006/main">
  <c r="E57" i="5" l="1"/>
  <c r="E36" i="5" l="1"/>
  <c r="E184" i="5" s="1"/>
  <c r="F26" i="5"/>
  <c r="E180" i="5"/>
  <c r="F179" i="5"/>
  <c r="F176" i="5"/>
  <c r="E176" i="5"/>
  <c r="G175" i="5"/>
  <c r="G176" i="5" s="1"/>
  <c r="F171" i="5"/>
  <c r="E171" i="5"/>
  <c r="G170" i="5"/>
  <c r="E169" i="5"/>
  <c r="E168" i="5"/>
  <c r="E165" i="5"/>
  <c r="G164" i="5"/>
  <c r="G163" i="5"/>
  <c r="G162" i="5"/>
  <c r="F161" i="5"/>
  <c r="E158" i="5"/>
  <c r="G157" i="5"/>
  <c r="G156" i="5"/>
  <c r="G155" i="5"/>
  <c r="G154" i="5"/>
  <c r="G153" i="5"/>
  <c r="F152" i="5"/>
  <c r="F158" i="5" s="1"/>
  <c r="F149" i="5"/>
  <c r="E148" i="5"/>
  <c r="E147" i="5"/>
  <c r="G146" i="5"/>
  <c r="E141" i="5"/>
  <c r="G140" i="5"/>
  <c r="F139" i="5"/>
  <c r="G135" i="5"/>
  <c r="G134" i="5"/>
  <c r="G133" i="5"/>
  <c r="G132" i="5"/>
  <c r="F131" i="5"/>
  <c r="E130" i="5"/>
  <c r="G129" i="5"/>
  <c r="G128" i="5"/>
  <c r="F127" i="5"/>
  <c r="F124" i="5"/>
  <c r="E124" i="5"/>
  <c r="G123" i="5"/>
  <c r="G122" i="5"/>
  <c r="F118" i="5"/>
  <c r="F119" i="5" s="1"/>
  <c r="E118" i="5"/>
  <c r="E115" i="5"/>
  <c r="G114" i="5"/>
  <c r="G113" i="5"/>
  <c r="F112" i="5"/>
  <c r="F109" i="5"/>
  <c r="E108" i="5"/>
  <c r="G107" i="5"/>
  <c r="G101" i="5"/>
  <c r="F100" i="5"/>
  <c r="E100" i="5"/>
  <c r="G99" i="5"/>
  <c r="F98" i="5"/>
  <c r="E98" i="5"/>
  <c r="G97" i="5"/>
  <c r="G96" i="5"/>
  <c r="G95" i="5"/>
  <c r="G94" i="5"/>
  <c r="G93" i="5"/>
  <c r="G92" i="5"/>
  <c r="G91" i="5"/>
  <c r="G90" i="5"/>
  <c r="F89" i="5"/>
  <c r="G88" i="5"/>
  <c r="F87" i="5"/>
  <c r="G87" i="5" s="1"/>
  <c r="F86" i="5"/>
  <c r="F85" i="5"/>
  <c r="G84" i="5"/>
  <c r="G83" i="5"/>
  <c r="G82" i="5"/>
  <c r="G81" i="5"/>
  <c r="G80" i="5"/>
  <c r="G79" i="5"/>
  <c r="G78" i="5"/>
  <c r="G77" i="5"/>
  <c r="F76" i="5"/>
  <c r="E76" i="5"/>
  <c r="G75" i="5"/>
  <c r="G74" i="5"/>
  <c r="G73" i="5"/>
  <c r="G67" i="5"/>
  <c r="G66" i="5"/>
  <c r="E65" i="5"/>
  <c r="E64" i="5"/>
  <c r="F63" i="5"/>
  <c r="E63" i="5"/>
  <c r="F62" i="5"/>
  <c r="G62" i="5" s="1"/>
  <c r="G61" i="5"/>
  <c r="F60" i="5"/>
  <c r="G60" i="5" s="1"/>
  <c r="F57" i="5"/>
  <c r="G56" i="5"/>
  <c r="G55" i="5"/>
  <c r="F52" i="5"/>
  <c r="E50" i="5"/>
  <c r="G50" i="5" s="1"/>
  <c r="F47" i="5"/>
  <c r="G46" i="5"/>
  <c r="E45" i="5"/>
  <c r="F41" i="5"/>
  <c r="F42" i="5" s="1"/>
  <c r="E41" i="5"/>
  <c r="E42" i="5" s="1"/>
  <c r="G35" i="5"/>
  <c r="G34" i="5"/>
  <c r="G33" i="5"/>
  <c r="G32" i="5"/>
  <c r="G31" i="5"/>
  <c r="G30" i="5"/>
  <c r="F27" i="5"/>
  <c r="G27" i="5" s="1"/>
  <c r="F23" i="5"/>
  <c r="F22" i="5"/>
  <c r="G21" i="5"/>
  <c r="G20" i="5"/>
  <c r="G19" i="5"/>
  <c r="G18" i="5"/>
  <c r="F17" i="5"/>
  <c r="G14" i="5"/>
  <c r="G13" i="5"/>
  <c r="G12" i="5"/>
  <c r="G11" i="5"/>
  <c r="F8" i="5"/>
  <c r="G8" i="5" s="1"/>
  <c r="G26" i="5" l="1"/>
  <c r="F36" i="5"/>
  <c r="G158" i="5"/>
  <c r="G100" i="5"/>
  <c r="G42" i="5"/>
  <c r="G22" i="5"/>
  <c r="G124" i="5"/>
  <c r="G17" i="5"/>
  <c r="G41" i="5"/>
  <c r="G89" i="5"/>
  <c r="G63" i="5"/>
  <c r="G23" i="5"/>
  <c r="G76" i="5"/>
  <c r="G148" i="5"/>
  <c r="G168" i="5"/>
  <c r="G98" i="5"/>
  <c r="E149" i="5"/>
  <c r="G149" i="5" s="1"/>
  <c r="G152" i="5"/>
  <c r="E172" i="5"/>
  <c r="G147" i="5"/>
  <c r="G171" i="5"/>
  <c r="G64" i="5"/>
  <c r="G57" i="5"/>
  <c r="G65" i="5"/>
  <c r="G130" i="5"/>
  <c r="G86" i="5"/>
  <c r="E109" i="5"/>
  <c r="G109" i="5" s="1"/>
  <c r="G127" i="5"/>
  <c r="F136" i="5"/>
  <c r="E136" i="5"/>
  <c r="G45" i="5"/>
  <c r="E47" i="5"/>
  <c r="G47" i="5" s="1"/>
  <c r="E52" i="5"/>
  <c r="G52" i="5" s="1"/>
  <c r="F102" i="5"/>
  <c r="F68" i="5"/>
  <c r="E68" i="5"/>
  <c r="G85" i="5"/>
  <c r="G108" i="5"/>
  <c r="F141" i="5"/>
  <c r="G141" i="5" s="1"/>
  <c r="G139" i="5"/>
  <c r="G179" i="5"/>
  <c r="G180" i="5" s="1"/>
  <c r="F180" i="5"/>
  <c r="E102" i="5"/>
  <c r="F115" i="5"/>
  <c r="G115" i="5" s="1"/>
  <c r="G112" i="5"/>
  <c r="E119" i="5"/>
  <c r="G119" i="5" s="1"/>
  <c r="G118" i="5"/>
  <c r="G131" i="5"/>
  <c r="F165" i="5"/>
  <c r="G165" i="5" s="1"/>
  <c r="G161" i="5"/>
  <c r="F172" i="5"/>
  <c r="G172" i="5" s="1"/>
  <c r="G169" i="5"/>
  <c r="G102" i="5" l="1"/>
  <c r="G36" i="5"/>
  <c r="G184" i="5" s="1"/>
  <c r="F184" i="5"/>
  <c r="G136" i="5"/>
  <c r="E182" i="5"/>
  <c r="E185" i="5" s="1"/>
  <c r="E187" i="5" s="1"/>
  <c r="F182" i="5"/>
  <c r="G68" i="5"/>
  <c r="F185" i="5" l="1"/>
  <c r="G182" i="5"/>
  <c r="G185" i="5" s="1"/>
  <c r="F187" i="5" l="1"/>
</calcChain>
</file>

<file path=xl/sharedStrings.xml><?xml version="1.0" encoding="utf-8"?>
<sst xmlns="http://schemas.openxmlformats.org/spreadsheetml/2006/main" count="476" uniqueCount="292">
  <si>
    <t>COLEGIO DE PROFESIONALES EN PSICOLOGÍA DE COSTA RICA</t>
  </si>
  <si>
    <t>Liquidación Presupuesto Ordinario 2020</t>
  </si>
  <si>
    <t>(Expresado en Colones)</t>
  </si>
  <si>
    <t xml:space="preserve">Base de Efectivo </t>
  </si>
  <si>
    <t>Cta Contable CPPCR</t>
  </si>
  <si>
    <t>Código por CE</t>
  </si>
  <si>
    <t>Código por OBG</t>
  </si>
  <si>
    <t xml:space="preserve">Cuenta Presupuestaria </t>
  </si>
  <si>
    <t>Monto Presupuestado  2020</t>
  </si>
  <si>
    <t xml:space="preserve">% de Ejecución </t>
  </si>
  <si>
    <t xml:space="preserve">Ingresos  </t>
  </si>
  <si>
    <t>INGRESOS ORDINARIOS</t>
  </si>
  <si>
    <t>40-01-01-01-01</t>
  </si>
  <si>
    <t>CUOTAS COLEGIATURA</t>
  </si>
  <si>
    <t xml:space="preserve">MATERIAL DEL EJERCICIO PROFESIONAL </t>
  </si>
  <si>
    <t>40-05-03-01-00</t>
  </si>
  <si>
    <t>CERTIFICADOS DE EVALUACIÓN DE IDONEIDAD MENTAL</t>
  </si>
  <si>
    <t>40-05-03-12-00</t>
  </si>
  <si>
    <t xml:space="preserve">CERTIFICADOS  CENTROS DE CUIDO </t>
  </si>
  <si>
    <t xml:space="preserve">CERTIFICADOS TRÁNSITO </t>
  </si>
  <si>
    <t xml:space="preserve">CERTIFICADOS  ADULTO MAYOR </t>
  </si>
  <si>
    <t xml:space="preserve">SERVICIOS AL COLEGIADO </t>
  </si>
  <si>
    <t>40-05-01-00-00</t>
  </si>
  <si>
    <t>INCORPORACIONES</t>
  </si>
  <si>
    <t>40-05-02-00-00</t>
  </si>
  <si>
    <t>REGISTRO DE POST GRADOS</t>
  </si>
  <si>
    <t>40-05-03-03-00</t>
  </si>
  <si>
    <t>CONSTANCIAS Y CERTIFICACIONES</t>
  </si>
  <si>
    <t>40-05-03-04-00</t>
  </si>
  <si>
    <t xml:space="preserve">VENTA DE IDENTIFICACIONES </t>
  </si>
  <si>
    <t>40-05-03-16-00</t>
  </si>
  <si>
    <t>SELLO DE AGUA</t>
  </si>
  <si>
    <t>40-05-03-13-00</t>
  </si>
  <si>
    <t>FOTOCOPIAS/CORREOS</t>
  </si>
  <si>
    <t>40-05-03-18-00</t>
  </si>
  <si>
    <t>REINCORPORACIONES</t>
  </si>
  <si>
    <t xml:space="preserve">ACTUALIZACIÓN PROFESIONAL </t>
  </si>
  <si>
    <t>40-05-03-08-02</t>
  </si>
  <si>
    <t xml:space="preserve">CURSOS  DE CAPACITACIÓN </t>
  </si>
  <si>
    <t>40-05-03-08-03</t>
  </si>
  <si>
    <t>CIREC</t>
  </si>
  <si>
    <t xml:space="preserve">OTROS INGRESOS </t>
  </si>
  <si>
    <t>40-05-03-14-00</t>
  </si>
  <si>
    <t xml:space="preserve">ALQUILER DE INSTALACIONES </t>
  </si>
  <si>
    <t>40-06-01-01-00</t>
  </si>
  <si>
    <t>INTERESES SOBRE INVERSIONES COLEGIO</t>
  </si>
  <si>
    <t>40-06-02-00-00</t>
  </si>
  <si>
    <t>INTERESES SOBRE CUENTAS CORRIENTES</t>
  </si>
  <si>
    <t>40-05-03-17-00</t>
  </si>
  <si>
    <t xml:space="preserve">INGRESO POR COMISIONES </t>
  </si>
  <si>
    <t>40-06-01-02-00</t>
  </si>
  <si>
    <t xml:space="preserve">INGRESO PROGRAMA DE BENEFICIOS </t>
  </si>
  <si>
    <t>40-02-03-00-00</t>
  </si>
  <si>
    <t>INGRESO CONGRESO PSICOLOGÍA 2020</t>
  </si>
  <si>
    <t xml:space="preserve">TOTAL INGRESOS </t>
  </si>
  <si>
    <t xml:space="preserve">Egresos </t>
  </si>
  <si>
    <t xml:space="preserve">COSTO MATERIAL EJERCICIO PROFESIONAL </t>
  </si>
  <si>
    <t xml:space="preserve">Monto Presupuestado </t>
  </si>
  <si>
    <t>50-01-02-01-00</t>
  </si>
  <si>
    <t>1.1.2</t>
  </si>
  <si>
    <t>1.03.03</t>
  </si>
  <si>
    <t xml:space="preserve">TOTAL COSTO MATERIAL EJERCICIO PROFESIONAL </t>
  </si>
  <si>
    <t xml:space="preserve">SERVICIO AL COLEGIADO </t>
  </si>
  <si>
    <t>50-01-09-00-00</t>
  </si>
  <si>
    <t>2.99.99</t>
  </si>
  <si>
    <t>50-01-01-00-00</t>
  </si>
  <si>
    <t>1.07.02</t>
  </si>
  <si>
    <t xml:space="preserve">TOTAL SERVICIO AL COLEGIADO </t>
  </si>
  <si>
    <t>50-01-05-00-00</t>
  </si>
  <si>
    <t>1.07.01</t>
  </si>
  <si>
    <t>TALLERES CAPACITACIÓN</t>
  </si>
  <si>
    <t>CONGRESO PSICOLOGÍA 2020</t>
  </si>
  <si>
    <t xml:space="preserve">TOTAL ACTUALIZACIÓN PROFESIONAL </t>
  </si>
  <si>
    <t xml:space="preserve">ACTIVIDADES GREMIALES   </t>
  </si>
  <si>
    <t>60-07-16-01-00</t>
  </si>
  <si>
    <t>ACTIVIDADES GREMIALES</t>
  </si>
  <si>
    <t>60-07-44-01-00</t>
  </si>
  <si>
    <t>ACTIVIDADES GREMIALES JUBILADOS (AS)</t>
  </si>
  <si>
    <t xml:space="preserve">TOTAL ACTIVIDADES GREMIALES </t>
  </si>
  <si>
    <t xml:space="preserve">RECURSOS HUMANOS </t>
  </si>
  <si>
    <t>60-02-01-00-00</t>
  </si>
  <si>
    <t>1.1.1.1</t>
  </si>
  <si>
    <t>0.01.01</t>
  </si>
  <si>
    <t xml:space="preserve">PLANILLA </t>
  </si>
  <si>
    <t>60-02-02-00-00</t>
  </si>
  <si>
    <t>1.1.1.2</t>
  </si>
  <si>
    <t>0.04 / 0.05</t>
  </si>
  <si>
    <t xml:space="preserve">GARANTIAS SOCIALES </t>
  </si>
  <si>
    <t>60-02-03-00-00</t>
  </si>
  <si>
    <t>1.3.2</t>
  </si>
  <si>
    <t>6.03.01</t>
  </si>
  <si>
    <t xml:space="preserve">PRESTACIONES LEGALES                 </t>
  </si>
  <si>
    <t>60-02-03-02-00</t>
  </si>
  <si>
    <t>0.03.03</t>
  </si>
  <si>
    <t>DÉCIMO TERCER MES</t>
  </si>
  <si>
    <t>60-02-22-00-00</t>
  </si>
  <si>
    <t>CAPACITACIÓN AL PERSONAL</t>
  </si>
  <si>
    <t>60-02-15-00-00</t>
  </si>
  <si>
    <t>2.99.04</t>
  </si>
  <si>
    <t>UNIFORMES</t>
  </si>
  <si>
    <t>60-02-08-01-00</t>
  </si>
  <si>
    <t>1.06.01</t>
  </si>
  <si>
    <t>PÓLIZA RIESGOS DEL TRABAJO INS</t>
  </si>
  <si>
    <t>60-02-43-00-00</t>
  </si>
  <si>
    <t>ACTIVIDAD FUNCIONARIOS</t>
  </si>
  <si>
    <t xml:space="preserve">TOTAL  RECURSOS HUMANOS </t>
  </si>
  <si>
    <t xml:space="preserve">GASTOS FIJOS </t>
  </si>
  <si>
    <t>60-02-05-01-00</t>
  </si>
  <si>
    <t>1.02.01</t>
  </si>
  <si>
    <t>AGUA</t>
  </si>
  <si>
    <t>60-02-05-02-00</t>
  </si>
  <si>
    <t>1.02.02</t>
  </si>
  <si>
    <t>ELECTRICIDAD</t>
  </si>
  <si>
    <t>60-02-05-03-00</t>
  </si>
  <si>
    <t>1.02.04</t>
  </si>
  <si>
    <t>TELÉFONO</t>
  </si>
  <si>
    <t>60-02-05-04-00</t>
  </si>
  <si>
    <t>ICE (INTERNET Y AFINES)</t>
  </si>
  <si>
    <t>60-02-06-00-00</t>
  </si>
  <si>
    <t>1.02.03</t>
  </si>
  <si>
    <t>SERVICIO CORREOS Y AFINES</t>
  </si>
  <si>
    <t>60-02-08-02-00</t>
  </si>
  <si>
    <t xml:space="preserve">PÓLIZA DE INCENDIO </t>
  </si>
  <si>
    <t>60-02-08-03-00</t>
  </si>
  <si>
    <t xml:space="preserve">PÓLIZA DE EQUIPO ELECTRONICO </t>
  </si>
  <si>
    <t>60-02-08-06-00</t>
  </si>
  <si>
    <t>PÓLIZA DE DINERO Y VALORES EN TRANSITO</t>
  </si>
  <si>
    <t>60-02-08-09-00</t>
  </si>
  <si>
    <t>PÓLIZA DE RESPONSABILIDAD CIVIL</t>
  </si>
  <si>
    <t>60-02-08-07-00</t>
  </si>
  <si>
    <t>PÓLIZA FIDELIDAD</t>
  </si>
  <si>
    <t>60-02-09-00-00</t>
  </si>
  <si>
    <t>2.99.05 / 2.99.07</t>
  </si>
  <si>
    <t>MATERIALES  ARTÍCULOS DE LIMPIEZA Y COCINA</t>
  </si>
  <si>
    <t>60-02-10-00-00</t>
  </si>
  <si>
    <t>1.04.06</t>
  </si>
  <si>
    <t>SERVICIOS DE MONITOREO Y SEGURIDAD</t>
  </si>
  <si>
    <t>60-02-11-00-00</t>
  </si>
  <si>
    <t>1.99.99</t>
  </si>
  <si>
    <t>OTROS SERVICIOS EVENTUALES</t>
  </si>
  <si>
    <t>60-02-12-00-00</t>
  </si>
  <si>
    <t>1.08.07</t>
  </si>
  <si>
    <t>MANTENIMIENTO DE MOBILIARIO Y EQUIPO</t>
  </si>
  <si>
    <t>60-03-03-00-00</t>
  </si>
  <si>
    <t>1.08.01</t>
  </si>
  <si>
    <t>MANTENIMIENTO DE EDIFICIO</t>
  </si>
  <si>
    <t>60-02-16-00-00</t>
  </si>
  <si>
    <t>2.99.01</t>
  </si>
  <si>
    <t xml:space="preserve">PAPELERIA Y UTILES DE OFICINA </t>
  </si>
  <si>
    <t>60-02-17-01-00</t>
  </si>
  <si>
    <t>1.3.1</t>
  </si>
  <si>
    <t>1.09.02</t>
  </si>
  <si>
    <t>IMPUESTOS /  BIENES INMUEBLES</t>
  </si>
  <si>
    <t>60-02-18-00-00</t>
  </si>
  <si>
    <t>1.05.01</t>
  </si>
  <si>
    <t>VIÁTICOS Y SERVICIOS DE TRANSPORTES</t>
  </si>
  <si>
    <t>60-02-42-00-00</t>
  </si>
  <si>
    <t>1.07.03</t>
  </si>
  <si>
    <t>GASTOS DE OPERACIÓN</t>
  </si>
  <si>
    <t>60-02-27-00-00</t>
  </si>
  <si>
    <t>2.01.02</t>
  </si>
  <si>
    <t xml:space="preserve">BOTIQUÍN </t>
  </si>
  <si>
    <t>60-02-21-00-00</t>
  </si>
  <si>
    <t>1.04.02</t>
  </si>
  <si>
    <t xml:space="preserve">TRAMITES LEGALES </t>
  </si>
  <si>
    <t>60-02-44-00-00</t>
  </si>
  <si>
    <t xml:space="preserve">GUARDADOCUMENTOS </t>
  </si>
  <si>
    <t>60-02-07-00-00</t>
  </si>
  <si>
    <t>SERVICIO DE LIMPIEZA</t>
  </si>
  <si>
    <t>60-03-05-00-00</t>
  </si>
  <si>
    <t xml:space="preserve">SERVICIO DE MANTENIMIENTO ZONAS VERDES </t>
  </si>
  <si>
    <t>60-02-29-00-00</t>
  </si>
  <si>
    <t xml:space="preserve">PROCESO RECLUTAMIENTO </t>
  </si>
  <si>
    <t>60-02-08-10-00</t>
  </si>
  <si>
    <t>1.04.05</t>
  </si>
  <si>
    <t>CONTRATOS PERMANENTES TI</t>
  </si>
  <si>
    <t>60-03-02-00-00</t>
  </si>
  <si>
    <t>1.08.99</t>
  </si>
  <si>
    <t xml:space="preserve">CONTRATOS MANTENIMIENTO </t>
  </si>
  <si>
    <t>60-07-17-01-00</t>
  </si>
  <si>
    <t>1.03.02</t>
  </si>
  <si>
    <t xml:space="preserve">COMUNICACIÓN E IMAGÉN </t>
  </si>
  <si>
    <t>60-02-37-00-00</t>
  </si>
  <si>
    <t xml:space="preserve">CONVENIOS  INSTITUCIONALES </t>
  </si>
  <si>
    <t xml:space="preserve">TOTAL GASTOS FIJOS </t>
  </si>
  <si>
    <t xml:space="preserve"> </t>
  </si>
  <si>
    <t xml:space="preserve">GASTOS FINANCIEROS </t>
  </si>
  <si>
    <t>60-02-20-00-00</t>
  </si>
  <si>
    <t>1.03.06</t>
  </si>
  <si>
    <t>COMISIONES Y OTROS CARGOS FINANCIEROS</t>
  </si>
  <si>
    <t>60-02-45-00-00</t>
  </si>
  <si>
    <t>1.2.1 / 3.3.1</t>
  </si>
  <si>
    <t>3.02.06 / 8.02.06</t>
  </si>
  <si>
    <t xml:space="preserve">CUOTA CRÉDITO </t>
  </si>
  <si>
    <t xml:space="preserve">TOTAL GASTOS FINANCIEROS </t>
  </si>
  <si>
    <t>FISCALÍA</t>
  </si>
  <si>
    <t>60-07-01-01-00</t>
  </si>
  <si>
    <t>1.04.99</t>
  </si>
  <si>
    <t>60-07-01-05-01</t>
  </si>
  <si>
    <t xml:space="preserve">1.07.01 </t>
  </si>
  <si>
    <t xml:space="preserve">CAPACITACIÓN DE PERSONAL FISCALÍA </t>
  </si>
  <si>
    <t>60-07-01-04-02</t>
  </si>
  <si>
    <t>PROYECTOS y ASESORÍAS DE INVESTIGACIÓN</t>
  </si>
  <si>
    <t>TOTAL PROGRAMA FISCALÍA</t>
  </si>
  <si>
    <t>60-07-24-01-00</t>
  </si>
  <si>
    <t xml:space="preserve"> TOTAL PROGRAMA CIREC</t>
  </si>
  <si>
    <t>REVISTA COSTARRICENSE DE PSICOLOGÍA</t>
  </si>
  <si>
    <t>60-07-18-06-00</t>
  </si>
  <si>
    <t>0.02.05</t>
  </si>
  <si>
    <t>DIETAS REVISTA COSTARRICENSE DE PSICOLOGÍA</t>
  </si>
  <si>
    <t>60-07-18-01-00</t>
  </si>
  <si>
    <t xml:space="preserve">GASTOS DE OPERACIÓN </t>
  </si>
  <si>
    <t xml:space="preserve">TOTAL DEL PROGRAMA REVISTA </t>
  </si>
  <si>
    <t>PROGRAMA  JUNTA DIRECTIVA</t>
  </si>
  <si>
    <t>60-01-01-00-00</t>
  </si>
  <si>
    <t>ASESORIA LEGAL</t>
  </si>
  <si>
    <t>60-01-23-00-00</t>
  </si>
  <si>
    <t>DEFENSA PROFESIONAL</t>
  </si>
  <si>
    <t>60-01-04-00-00</t>
  </si>
  <si>
    <t>AUDITORIA EXTERNA</t>
  </si>
  <si>
    <t>60-01-19-00-00</t>
  </si>
  <si>
    <r>
      <t xml:space="preserve">ASESORÍA SERVICIOS </t>
    </r>
    <r>
      <rPr>
        <b/>
        <sz val="9"/>
        <color indexed="8"/>
        <rFont val="Roboto"/>
      </rPr>
      <t>MOD #1</t>
    </r>
  </si>
  <si>
    <t>60-01-08-00-00</t>
  </si>
  <si>
    <t xml:space="preserve">FEDERACIONES Y ASOCIACIONES </t>
  </si>
  <si>
    <t>60-01-09-00-00</t>
  </si>
  <si>
    <t>2.02.03</t>
  </si>
  <si>
    <r>
      <t xml:space="preserve">ALIMENTACION </t>
    </r>
    <r>
      <rPr>
        <b/>
        <sz val="9"/>
        <rFont val="Roboto"/>
      </rPr>
      <t xml:space="preserve"> </t>
    </r>
  </si>
  <si>
    <t>60-01-10-00-00</t>
  </si>
  <si>
    <t>1.03.01</t>
  </si>
  <si>
    <r>
      <t xml:space="preserve">IMPRESOS Y PUBLICACIONES  </t>
    </r>
    <r>
      <rPr>
        <b/>
        <sz val="9"/>
        <rFont val="Roboto"/>
      </rPr>
      <t xml:space="preserve"> </t>
    </r>
  </si>
  <si>
    <t>60-01-14-00-00</t>
  </si>
  <si>
    <t xml:space="preserve">GASTOS DE REPRESENTACIÓN </t>
  </si>
  <si>
    <t>60-01-07-00-00</t>
  </si>
  <si>
    <t>DIETAS JUNTA DIRECTIVA</t>
  </si>
  <si>
    <t xml:space="preserve">TOTAL PROGRAMA JUNTA DIRECTIVA </t>
  </si>
  <si>
    <t xml:space="preserve">PROYECTOS JUNTA DIRECTIVA </t>
  </si>
  <si>
    <t>60-01-06-01-01</t>
  </si>
  <si>
    <t xml:space="preserve">PROYECTOS </t>
  </si>
  <si>
    <t>60-07-03-01-00</t>
  </si>
  <si>
    <t xml:space="preserve">REGIONALIZACIÒN </t>
  </si>
  <si>
    <t xml:space="preserve">PROGRAMA DE ASAMBLEAS </t>
  </si>
  <si>
    <t>60-04-01-00-00</t>
  </si>
  <si>
    <t xml:space="preserve">DIVULGACIÓN o PUBLICACIONES </t>
  </si>
  <si>
    <t>60-04-03-00-00</t>
  </si>
  <si>
    <r>
      <t xml:space="preserve">ALIMENTACION ASAMBLEISTAS </t>
    </r>
    <r>
      <rPr>
        <b/>
        <sz val="9"/>
        <color indexed="8"/>
        <rFont val="Roboto"/>
      </rPr>
      <t>MOD#1</t>
    </r>
  </si>
  <si>
    <t>60-04-04-00-00</t>
  </si>
  <si>
    <t>2.99.03</t>
  </si>
  <si>
    <r>
      <t xml:space="preserve">PAPELERIA Y MATERIALES PARA ASAMBLEA </t>
    </r>
    <r>
      <rPr>
        <b/>
        <sz val="8"/>
        <color indexed="8"/>
        <rFont val="Roboto"/>
      </rPr>
      <t>MOD#1</t>
    </r>
  </si>
  <si>
    <t xml:space="preserve">TOTAL PROGRAMA ASAMBLEAS </t>
  </si>
  <si>
    <t xml:space="preserve">PROGRAMA DE TRIBUNAL DE HONOR  </t>
  </si>
  <si>
    <t>60-07-02-03-00</t>
  </si>
  <si>
    <t xml:space="preserve">DIETAS TRIBUNAL DE HONOR </t>
  </si>
  <si>
    <t>60-07-02-01-00</t>
  </si>
  <si>
    <t>GASTOS DE OPERACIÓN TRIBUNAL DE HONOR</t>
  </si>
  <si>
    <t>60-07-02-02-00</t>
  </si>
  <si>
    <t>PUBLICACIONES  TRIBUNAL DE HONOR</t>
  </si>
  <si>
    <t>60-07-02-04-00</t>
  </si>
  <si>
    <t xml:space="preserve">ASESORÍA LEGAL TRIBUNAL DE HONOR   </t>
  </si>
  <si>
    <t xml:space="preserve">CAMPAÑA AUDIOVISUAL </t>
  </si>
  <si>
    <t xml:space="preserve">COLOQUIO NACIONAL </t>
  </si>
  <si>
    <t>TOTAL PROGRAMA TRIBUNAL ELECTORAL</t>
  </si>
  <si>
    <t xml:space="preserve">PROGRAMA DE TRIBUNAL ELECTORAL </t>
  </si>
  <si>
    <t>60-04-00-00-00</t>
  </si>
  <si>
    <t xml:space="preserve">CAPACITACIÓN </t>
  </si>
  <si>
    <t>ASESORÍA LEGAL</t>
  </si>
  <si>
    <t xml:space="preserve">LOGISTICA VOTACIONES </t>
  </si>
  <si>
    <t xml:space="preserve">PROGRAMA DE INVERSIÓN EN ACTIVOS </t>
  </si>
  <si>
    <t>15-02-01-00-00</t>
  </si>
  <si>
    <t>2.2.1</t>
  </si>
  <si>
    <t>5.01.05</t>
  </si>
  <si>
    <t>EQUIPO TECNOLOGÍA DE INFORMACIÓN</t>
  </si>
  <si>
    <t>15-02-01-00-01</t>
  </si>
  <si>
    <t>2.2.4</t>
  </si>
  <si>
    <t>5.99.03</t>
  </si>
  <si>
    <t xml:space="preserve">LICENCIAS </t>
  </si>
  <si>
    <t>15-09-01-00-00</t>
  </si>
  <si>
    <t xml:space="preserve">PROYECTOS IT </t>
  </si>
  <si>
    <t>15-01-01-00-00</t>
  </si>
  <si>
    <t>5.01.04</t>
  </si>
  <si>
    <t xml:space="preserve">ACTIVOS INSTITUCIONALES </t>
  </si>
  <si>
    <t xml:space="preserve">TOTAL PROGRAMA DE ACTIVOS e INVERSIÓN EN CAPITAL </t>
  </si>
  <si>
    <t>PROGRAMA DE BENEFICIOS</t>
  </si>
  <si>
    <t>60-07-08-01-00</t>
  </si>
  <si>
    <t>6.02.03</t>
  </si>
  <si>
    <t xml:space="preserve">TOTAL PROGRAMA DE BENEFICIOS </t>
  </si>
  <si>
    <t>PROGRAMA DE COMISIONES DE TRABAJO</t>
  </si>
  <si>
    <t>60-07-00-00-00</t>
  </si>
  <si>
    <t xml:space="preserve">COMISIONES DE TRABAJO </t>
  </si>
  <si>
    <t xml:space="preserve">TOTAL PROGRAMA DE COMISIONES </t>
  </si>
  <si>
    <t xml:space="preserve">TOTAL EGRESOS </t>
  </si>
  <si>
    <t>Ejecución al 31 de Diciembre   2020</t>
  </si>
  <si>
    <t xml:space="preserve">Excedente Operativo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</si>
</sst>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</numFmts>
  <fonts count="21" x14ac:knownFonts="1">
    <font>
      <sz val="11"/>
      <color theme="1"/>
      <name val="Calibri"/>
      <family val="2"/>
      <scheme val="minor"/>
    </font>
    <font>
      <b/>
      <sz val="11"/>
      <name val="Roboto"/>
    </font>
    <font>
      <sz val="9"/>
      <name val="Roboto"/>
    </font>
    <font>
      <b/>
      <sz val="8"/>
      <name val="Roboto"/>
    </font>
    <font>
      <b/>
      <sz val="9"/>
      <name val="Roboto"/>
    </font>
    <font>
      <sz val="7"/>
      <name val="Roboto"/>
    </font>
    <font>
      <b/>
      <sz val="9"/>
      <color indexed="8"/>
      <name val="Roboto"/>
    </font>
    <font>
      <b/>
      <sz val="8"/>
      <color indexed="8"/>
      <name val="Roboto"/>
    </font>
    <font>
      <sz val="11"/>
      <name val="Roboto"/>
    </font>
    <font>
      <sz val="10"/>
      <name val="Roboto"/>
    </font>
    <font>
      <sz val="8"/>
      <name val="Roboto"/>
    </font>
    <font>
      <sz val="11"/>
      <color theme="1"/>
      <name val="Calibri"/>
      <family val="2"/>
      <scheme val="minor"/>
    </font>
    <font>
      <b/>
      <sz val="9"/>
      <color theme="0"/>
      <name val="Roboto"/>
    </font>
    <font>
      <b/>
      <sz val="9"/>
      <color theme="1"/>
      <name val="Roboto"/>
    </font>
    <font>
      <sz val="8"/>
      <color theme="1"/>
      <name val="Roboto"/>
    </font>
    <font>
      <sz val="8"/>
      <color rgb="FF000000"/>
      <name val="Roboto"/>
    </font>
    <font>
      <sz val="9"/>
      <color rgb="FF000000"/>
      <name val="Roboto"/>
    </font>
    <font>
      <b/>
      <sz val="9"/>
      <color rgb="FF000000"/>
      <name val="Roboto"/>
    </font>
    <font>
      <sz val="11"/>
      <color theme="1"/>
      <name val="Roboto"/>
    </font>
    <font>
      <sz val="9"/>
      <color theme="1"/>
      <name val="Roboto"/>
    </font>
    <font>
      <sz val="9"/>
      <color theme="0"/>
      <name val="Roboto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-0.499984740745262"/>
        <bgColor rgb="FFFFFFCC"/>
      </patternFill>
    </fill>
    <fill>
      <patternFill patternType="solid">
        <fgColor theme="0" tint="-0.34998626667073579"/>
        <bgColor rgb="FFFFFFCC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0.34998626667073579"/>
        <bgColor indexed="2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 applyFill="1"/>
    <xf numFmtId="0" fontId="2" fillId="0" borderId="0" xfId="0" applyFont="1"/>
    <xf numFmtId="41" fontId="12" fillId="3" borderId="0" xfId="0" applyNumberFormat="1" applyFont="1" applyFill="1" applyBorder="1" applyAlignment="1">
      <alignment horizontal="center" vertical="center" wrapText="1"/>
    </xf>
    <xf numFmtId="164" fontId="12" fillId="3" borderId="0" xfId="1" applyNumberFormat="1" applyFont="1" applyFill="1" applyBorder="1" applyAlignment="1">
      <alignment horizontal="center" vertical="center" wrapText="1"/>
    </xf>
    <xf numFmtId="164" fontId="2" fillId="5" borderId="0" xfId="1" applyNumberFormat="1" applyFont="1" applyFill="1"/>
    <xf numFmtId="164" fontId="2" fillId="0" borderId="0" xfId="1" applyNumberFormat="1" applyFont="1" applyFill="1"/>
    <xf numFmtId="0" fontId="2" fillId="0" borderId="1" xfId="0" applyFont="1" applyFill="1" applyBorder="1"/>
    <xf numFmtId="0" fontId="2" fillId="0" borderId="2" xfId="0" applyFont="1" applyFill="1" applyBorder="1"/>
    <xf numFmtId="0" fontId="5" fillId="0" borderId="1" xfId="0" applyFont="1" applyFill="1" applyBorder="1"/>
    <xf numFmtId="41" fontId="2" fillId="0" borderId="1" xfId="1" applyNumberFormat="1" applyFont="1" applyFill="1" applyBorder="1" applyAlignment="1" applyProtection="1">
      <alignment horizontal="right"/>
    </xf>
    <xf numFmtId="164" fontId="2" fillId="0" borderId="1" xfId="1" applyNumberFormat="1" applyFont="1" applyFill="1" applyBorder="1"/>
    <xf numFmtId="0" fontId="5" fillId="0" borderId="0" xfId="0" applyFont="1" applyFill="1"/>
    <xf numFmtId="0" fontId="2" fillId="0" borderId="1" xfId="0" applyFont="1" applyFill="1" applyBorder="1" applyAlignment="1"/>
    <xf numFmtId="0" fontId="2" fillId="6" borderId="1" xfId="0" applyFont="1" applyFill="1" applyBorder="1" applyAlignment="1"/>
    <xf numFmtId="41" fontId="2" fillId="0" borderId="1" xfId="1" applyNumberFormat="1" applyFont="1" applyFill="1" applyBorder="1" applyAlignment="1" applyProtection="1">
      <alignment horizontal="right" wrapText="1"/>
    </xf>
    <xf numFmtId="0" fontId="5" fillId="0" borderId="2" xfId="0" applyFont="1" applyFill="1" applyBorder="1"/>
    <xf numFmtId="0" fontId="2" fillId="6" borderId="1" xfId="0" applyFont="1" applyFill="1" applyBorder="1"/>
    <xf numFmtId="0" fontId="2" fillId="0" borderId="0" xfId="0" applyFont="1" applyFill="1" applyBorder="1"/>
    <xf numFmtId="0" fontId="13" fillId="7" borderId="1" xfId="0" applyFont="1" applyFill="1" applyBorder="1"/>
    <xf numFmtId="0" fontId="4" fillId="2" borderId="0" xfId="0" applyFont="1" applyFill="1" applyBorder="1"/>
    <xf numFmtId="41" fontId="4" fillId="2" borderId="0" xfId="1" applyNumberFormat="1" applyFont="1" applyFill="1" applyBorder="1" applyAlignment="1" applyProtection="1">
      <alignment horizontal="right"/>
    </xf>
    <xf numFmtId="0" fontId="13" fillId="4" borderId="0" xfId="0" applyFont="1" applyFill="1" applyBorder="1" applyAlignment="1">
      <alignment wrapText="1"/>
    </xf>
    <xf numFmtId="0" fontId="14" fillId="0" borderId="1" xfId="0" applyFont="1" applyBorder="1" applyAlignment="1">
      <alignment horizontal="right"/>
    </xf>
    <xf numFmtId="0" fontId="15" fillId="0" borderId="1" xfId="0" applyFont="1" applyBorder="1" applyAlignment="1">
      <alignment horizontal="left" wrapText="1" readingOrder="1"/>
    </xf>
    <xf numFmtId="41" fontId="16" fillId="0" borderId="1" xfId="0" applyNumberFormat="1" applyFont="1" applyBorder="1" applyAlignment="1">
      <alignment horizontal="right" wrapText="1" readingOrder="1"/>
    </xf>
    <xf numFmtId="0" fontId="17" fillId="0" borderId="1" xfId="0" applyFont="1" applyBorder="1" applyAlignment="1">
      <alignment horizontal="left" wrapText="1" readingOrder="1"/>
    </xf>
    <xf numFmtId="41" fontId="17" fillId="0" borderId="1" xfId="0" applyNumberFormat="1" applyFont="1" applyBorder="1" applyAlignment="1">
      <alignment horizontal="right" wrapText="1" readingOrder="1"/>
    </xf>
    <xf numFmtId="0" fontId="2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6" fillId="0" borderId="1" xfId="0" applyFont="1" applyBorder="1" applyAlignment="1">
      <alignment horizontal="left" wrapText="1" readingOrder="1"/>
    </xf>
    <xf numFmtId="0" fontId="17" fillId="0" borderId="0" xfId="0" applyFont="1" applyBorder="1" applyAlignment="1">
      <alignment horizontal="left" wrapText="1" readingOrder="1"/>
    </xf>
    <xf numFmtId="41" fontId="17" fillId="0" borderId="0" xfId="0" applyNumberFormat="1" applyFont="1" applyBorder="1" applyAlignment="1">
      <alignment horizontal="right" wrapText="1" readingOrder="1"/>
    </xf>
    <xf numFmtId="0" fontId="16" fillId="0" borderId="3" xfId="0" applyFont="1" applyBorder="1" applyAlignment="1">
      <alignment horizontal="left" wrapText="1" readingOrder="1"/>
    </xf>
    <xf numFmtId="41" fontId="16" fillId="0" borderId="3" xfId="0" applyNumberFormat="1" applyFont="1" applyBorder="1" applyAlignment="1">
      <alignment horizontal="right" wrapText="1" readingOrder="1"/>
    </xf>
    <xf numFmtId="164" fontId="2" fillId="0" borderId="3" xfId="1" applyNumberFormat="1" applyFont="1" applyFill="1" applyBorder="1"/>
    <xf numFmtId="164" fontId="2" fillId="0" borderId="0" xfId="1" applyNumberFormat="1" applyFont="1" applyFill="1" applyBorder="1"/>
    <xf numFmtId="0" fontId="14" fillId="0" borderId="2" xfId="0" applyFont="1" applyBorder="1" applyAlignment="1">
      <alignment horizontal="right"/>
    </xf>
    <xf numFmtId="41" fontId="2" fillId="0" borderId="0" xfId="0" applyNumberFormat="1" applyFont="1" applyFill="1" applyBorder="1"/>
    <xf numFmtId="0" fontId="4" fillId="0" borderId="0" xfId="0" applyFont="1" applyFill="1" applyBorder="1"/>
    <xf numFmtId="164" fontId="16" fillId="0" borderId="1" xfId="1" applyNumberFormat="1" applyFont="1" applyFill="1" applyBorder="1" applyAlignment="1">
      <alignment horizontal="right" wrapText="1" readingOrder="1"/>
    </xf>
    <xf numFmtId="0" fontId="2" fillId="0" borderId="0" xfId="0" applyFont="1" applyBorder="1"/>
    <xf numFmtId="0" fontId="4" fillId="0" borderId="0" xfId="0" applyFont="1" applyFill="1" applyBorder="1" applyAlignment="1"/>
    <xf numFmtId="0" fontId="16" fillId="0" borderId="4" xfId="0" applyFont="1" applyBorder="1" applyAlignment="1">
      <alignment horizontal="left" wrapText="1" readingOrder="1"/>
    </xf>
    <xf numFmtId="164" fontId="18" fillId="0" borderId="0" xfId="1" applyNumberFormat="1" applyFont="1"/>
    <xf numFmtId="0" fontId="18" fillId="0" borderId="0" xfId="0" applyFont="1"/>
    <xf numFmtId="164" fontId="18" fillId="0" borderId="0" xfId="1" applyNumberFormat="1" applyFont="1" applyFill="1"/>
    <xf numFmtId="0" fontId="4" fillId="0" borderId="1" xfId="0" applyFont="1" applyFill="1" applyBorder="1"/>
    <xf numFmtId="41" fontId="4" fillId="0" borderId="1" xfId="1" applyNumberFormat="1" applyFont="1" applyFill="1" applyBorder="1" applyAlignment="1" applyProtection="1">
      <alignment horizontal="right" wrapText="1"/>
    </xf>
    <xf numFmtId="0" fontId="19" fillId="0" borderId="0" xfId="0" applyFont="1"/>
    <xf numFmtId="0" fontId="19" fillId="0" borderId="0" xfId="0" applyFont="1" applyBorder="1"/>
    <xf numFmtId="0" fontId="18" fillId="0" borderId="0" xfId="0" applyFont="1" applyBorder="1"/>
    <xf numFmtId="164" fontId="18" fillId="0" borderId="0" xfId="1" applyNumberFormat="1" applyFont="1" applyFill="1" applyBorder="1"/>
    <xf numFmtId="41" fontId="4" fillId="0" borderId="0" xfId="1" applyNumberFormat="1" applyFont="1" applyFill="1" applyBorder="1" applyAlignment="1" applyProtection="1">
      <alignment horizontal="right" wrapText="1"/>
    </xf>
    <xf numFmtId="41" fontId="4" fillId="0" borderId="1" xfId="1" applyNumberFormat="1" applyFont="1" applyFill="1" applyBorder="1" applyAlignment="1" applyProtection="1">
      <alignment horizontal="right"/>
    </xf>
    <xf numFmtId="41" fontId="2" fillId="0" borderId="0" xfId="0" applyNumberFormat="1" applyFont="1" applyBorder="1"/>
    <xf numFmtId="0" fontId="13" fillId="0" borderId="1" xfId="0" applyFont="1" applyBorder="1" applyAlignment="1">
      <alignment horizontal="right"/>
    </xf>
    <xf numFmtId="164" fontId="4" fillId="0" borderId="1" xfId="1" applyNumberFormat="1" applyFont="1" applyBorder="1"/>
    <xf numFmtId="164" fontId="4" fillId="0" borderId="1" xfId="1" applyNumberFormat="1" applyFont="1" applyFill="1" applyBorder="1"/>
    <xf numFmtId="41" fontId="8" fillId="0" borderId="0" xfId="0" applyNumberFormat="1" applyFont="1"/>
    <xf numFmtId="9" fontId="8" fillId="0" borderId="0" xfId="2" applyFont="1"/>
    <xf numFmtId="41" fontId="8" fillId="0" borderId="0" xfId="0" applyNumberFormat="1" applyFont="1" applyBorder="1"/>
    <xf numFmtId="43" fontId="9" fillId="0" borderId="0" xfId="1" applyFont="1" applyBorder="1"/>
    <xf numFmtId="43" fontId="10" fillId="0" borderId="0" xfId="0" applyNumberFormat="1" applyFont="1"/>
    <xf numFmtId="41" fontId="16" fillId="0" borderId="1" xfId="0" applyNumberFormat="1" applyFont="1" applyFill="1" applyBorder="1" applyAlignment="1">
      <alignment horizontal="right" wrapText="1" readingOrder="1"/>
    </xf>
    <xf numFmtId="9" fontId="20" fillId="3" borderId="0" xfId="2" applyFont="1" applyFill="1" applyBorder="1" applyAlignment="1">
      <alignment horizontal="center" vertical="center" wrapText="1"/>
    </xf>
    <xf numFmtId="0" fontId="4" fillId="8" borderId="0" xfId="0" applyFont="1" applyFill="1" applyBorder="1" applyAlignment="1"/>
    <xf numFmtId="41" fontId="4" fillId="8" borderId="0" xfId="0" applyNumberFormat="1" applyFont="1" applyFill="1" applyBorder="1" applyAlignment="1"/>
    <xf numFmtId="9" fontId="4" fillId="0" borderId="1" xfId="2" applyFont="1" applyFill="1" applyBorder="1" applyAlignment="1">
      <alignment horizontal="center"/>
    </xf>
    <xf numFmtId="9" fontId="2" fillId="0" borderId="1" xfId="2" applyFont="1" applyFill="1" applyBorder="1" applyAlignment="1">
      <alignment horizontal="center"/>
    </xf>
    <xf numFmtId="1" fontId="2" fillId="0" borderId="0" xfId="0" applyNumberFormat="1" applyFont="1" applyFill="1"/>
    <xf numFmtId="0" fontId="12" fillId="3" borderId="0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right"/>
    </xf>
    <xf numFmtId="0" fontId="16" fillId="0" borderId="1" xfId="0" applyFont="1" applyFill="1" applyBorder="1" applyAlignment="1">
      <alignment horizontal="left" wrapText="1" readingOrder="1"/>
    </xf>
    <xf numFmtId="41" fontId="4" fillId="9" borderId="1" xfId="1" applyNumberFormat="1" applyFont="1" applyFill="1" applyBorder="1" applyAlignment="1" applyProtection="1">
      <alignment horizontal="right"/>
    </xf>
    <xf numFmtId="9" fontId="2" fillId="0" borderId="0" xfId="2" applyFont="1" applyFill="1" applyAlignment="1">
      <alignment horizontal="center"/>
    </xf>
    <xf numFmtId="9" fontId="2" fillId="8" borderId="0" xfId="2" applyFont="1" applyFill="1" applyBorder="1" applyAlignment="1">
      <alignment horizontal="center"/>
    </xf>
    <xf numFmtId="9" fontId="2" fillId="5" borderId="0" xfId="2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9" fontId="16" fillId="0" borderId="1" xfId="2" applyFont="1" applyBorder="1" applyAlignment="1">
      <alignment horizontal="center" wrapText="1"/>
    </xf>
    <xf numFmtId="9" fontId="2" fillId="0" borderId="0" xfId="2" applyFont="1" applyFill="1" applyBorder="1" applyAlignment="1">
      <alignment horizontal="center"/>
    </xf>
    <xf numFmtId="9" fontId="18" fillId="0" borderId="0" xfId="2" applyFont="1" applyAlignment="1">
      <alignment horizontal="center"/>
    </xf>
    <xf numFmtId="9" fontId="18" fillId="0" borderId="0" xfId="2" applyFont="1" applyBorder="1" applyAlignment="1">
      <alignment horizontal="center"/>
    </xf>
    <xf numFmtId="164" fontId="2" fillId="0" borderId="0" xfId="1" applyNumberFormat="1" applyFont="1" applyFill="1" applyBorder="1" applyAlignment="1">
      <alignment horizontal="center"/>
    </xf>
    <xf numFmtId="9" fontId="17" fillId="0" borderId="1" xfId="2" applyFont="1" applyBorder="1" applyAlignment="1">
      <alignment horizontal="center" wrapText="1"/>
    </xf>
    <xf numFmtId="9" fontId="4" fillId="0" borderId="1" xfId="2" applyFont="1" applyFill="1" applyBorder="1" applyAlignment="1" applyProtection="1">
      <alignment horizontal="center" wrapText="1"/>
    </xf>
    <xf numFmtId="9" fontId="4" fillId="0" borderId="1" xfId="2" applyFont="1" applyFill="1" applyBorder="1" applyAlignment="1" applyProtection="1">
      <alignment horizontal="center"/>
    </xf>
    <xf numFmtId="9" fontId="4" fillId="9" borderId="1" xfId="2" applyFont="1" applyFill="1" applyBorder="1" applyAlignment="1" applyProtection="1">
      <alignment horizontal="center"/>
    </xf>
    <xf numFmtId="0" fontId="4" fillId="6" borderId="0" xfId="0" applyFont="1" applyFill="1" applyBorder="1" applyAlignment="1">
      <alignment horizontal="center"/>
    </xf>
    <xf numFmtId="0" fontId="4" fillId="8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/>
    </xf>
    <xf numFmtId="0" fontId="2" fillId="6" borderId="0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3" fillId="4" borderId="0" xfId="0" applyFont="1" applyFill="1" applyBorder="1" applyAlignment="1">
      <alignment horizontal="left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6"/>
  <sheetViews>
    <sheetView showGridLines="0" tabSelected="1" topLeftCell="D1" workbookViewId="0">
      <selection activeCell="J185" sqref="J185"/>
    </sheetView>
  </sheetViews>
  <sheetFormatPr baseColWidth="10" defaultRowHeight="15" x14ac:dyDescent="0.25"/>
  <cols>
    <col min="1" max="1" width="12.42578125" style="45" hidden="1" customWidth="1"/>
    <col min="2" max="2" width="9.140625" style="45" hidden="1" customWidth="1"/>
    <col min="3" max="3" width="8.42578125" style="45" hidden="1" customWidth="1"/>
    <col min="4" max="4" width="39.42578125" style="45" customWidth="1"/>
    <col min="5" max="5" width="15.42578125" style="59" customWidth="1"/>
    <col min="6" max="6" width="14.140625" style="44" customWidth="1"/>
    <col min="7" max="7" width="13" style="81" bestFit="1" customWidth="1"/>
    <col min="8" max="213" width="11.42578125" style="45"/>
    <col min="214" max="216" width="0" style="45" hidden="1" customWidth="1"/>
    <col min="217" max="217" width="39.42578125" style="45" customWidth="1"/>
    <col min="218" max="218" width="15.42578125" style="45" customWidth="1"/>
    <col min="219" max="233" width="0" style="45" hidden="1" customWidth="1"/>
    <col min="234" max="234" width="14.140625" style="45" customWidth="1"/>
    <col min="235" max="235" width="0" style="45" hidden="1" customWidth="1"/>
    <col min="236" max="236" width="19" style="45" bestFit="1" customWidth="1"/>
    <col min="237" max="238" width="14.28515625" style="45" bestFit="1" customWidth="1"/>
    <col min="239" max="241" width="12.28515625" style="45" bestFit="1" customWidth="1"/>
    <col min="242" max="469" width="11.42578125" style="45"/>
    <col min="470" max="472" width="0" style="45" hidden="1" customWidth="1"/>
    <col min="473" max="473" width="39.42578125" style="45" customWidth="1"/>
    <col min="474" max="474" width="15.42578125" style="45" customWidth="1"/>
    <col min="475" max="489" width="0" style="45" hidden="1" customWidth="1"/>
    <col min="490" max="490" width="14.140625" style="45" customWidth="1"/>
    <col min="491" max="491" width="0" style="45" hidden="1" customWidth="1"/>
    <col min="492" max="492" width="19" style="45" bestFit="1" customWidth="1"/>
    <col min="493" max="494" width="14.28515625" style="45" bestFit="1" customWidth="1"/>
    <col min="495" max="497" width="12.28515625" style="45" bestFit="1" customWidth="1"/>
    <col min="498" max="725" width="11.42578125" style="45"/>
    <col min="726" max="728" width="0" style="45" hidden="1" customWidth="1"/>
    <col min="729" max="729" width="39.42578125" style="45" customWidth="1"/>
    <col min="730" max="730" width="15.42578125" style="45" customWidth="1"/>
    <col min="731" max="745" width="0" style="45" hidden="1" customWidth="1"/>
    <col min="746" max="746" width="14.140625" style="45" customWidth="1"/>
    <col min="747" max="747" width="0" style="45" hidden="1" customWidth="1"/>
    <col min="748" max="748" width="19" style="45" bestFit="1" customWidth="1"/>
    <col min="749" max="750" width="14.28515625" style="45" bestFit="1" customWidth="1"/>
    <col min="751" max="753" width="12.28515625" style="45" bestFit="1" customWidth="1"/>
    <col min="754" max="981" width="11.42578125" style="45"/>
    <col min="982" max="984" width="0" style="45" hidden="1" customWidth="1"/>
    <col min="985" max="985" width="39.42578125" style="45" customWidth="1"/>
    <col min="986" max="986" width="15.42578125" style="45" customWidth="1"/>
    <col min="987" max="1001" width="0" style="45" hidden="1" customWidth="1"/>
    <col min="1002" max="1002" width="14.140625" style="45" customWidth="1"/>
    <col min="1003" max="1003" width="0" style="45" hidden="1" customWidth="1"/>
    <col min="1004" max="1004" width="19" style="45" bestFit="1" customWidth="1"/>
    <col min="1005" max="1006" width="14.28515625" style="45" bestFit="1" customWidth="1"/>
    <col min="1007" max="1009" width="12.28515625" style="45" bestFit="1" customWidth="1"/>
    <col min="1010" max="1237" width="11.42578125" style="45"/>
    <col min="1238" max="1240" width="0" style="45" hidden="1" customWidth="1"/>
    <col min="1241" max="1241" width="39.42578125" style="45" customWidth="1"/>
    <col min="1242" max="1242" width="15.42578125" style="45" customWidth="1"/>
    <col min="1243" max="1257" width="0" style="45" hidden="1" customWidth="1"/>
    <col min="1258" max="1258" width="14.140625" style="45" customWidth="1"/>
    <col min="1259" max="1259" width="0" style="45" hidden="1" customWidth="1"/>
    <col min="1260" max="1260" width="19" style="45" bestFit="1" customWidth="1"/>
    <col min="1261" max="1262" width="14.28515625" style="45" bestFit="1" customWidth="1"/>
    <col min="1263" max="1265" width="12.28515625" style="45" bestFit="1" customWidth="1"/>
    <col min="1266" max="1493" width="11.42578125" style="45"/>
    <col min="1494" max="1496" width="0" style="45" hidden="1" customWidth="1"/>
    <col min="1497" max="1497" width="39.42578125" style="45" customWidth="1"/>
    <col min="1498" max="1498" width="15.42578125" style="45" customWidth="1"/>
    <col min="1499" max="1513" width="0" style="45" hidden="1" customWidth="1"/>
    <col min="1514" max="1514" width="14.140625" style="45" customWidth="1"/>
    <col min="1515" max="1515" width="0" style="45" hidden="1" customWidth="1"/>
    <col min="1516" max="1516" width="19" style="45" bestFit="1" customWidth="1"/>
    <col min="1517" max="1518" width="14.28515625" style="45" bestFit="1" customWidth="1"/>
    <col min="1519" max="1521" width="12.28515625" style="45" bestFit="1" customWidth="1"/>
    <col min="1522" max="1749" width="11.42578125" style="45"/>
    <col min="1750" max="1752" width="0" style="45" hidden="1" customWidth="1"/>
    <col min="1753" max="1753" width="39.42578125" style="45" customWidth="1"/>
    <col min="1754" max="1754" width="15.42578125" style="45" customWidth="1"/>
    <col min="1755" max="1769" width="0" style="45" hidden="1" customWidth="1"/>
    <col min="1770" max="1770" width="14.140625" style="45" customWidth="1"/>
    <col min="1771" max="1771" width="0" style="45" hidden="1" customWidth="1"/>
    <col min="1772" max="1772" width="19" style="45" bestFit="1" customWidth="1"/>
    <col min="1773" max="1774" width="14.28515625" style="45" bestFit="1" customWidth="1"/>
    <col min="1775" max="1777" width="12.28515625" style="45" bestFit="1" customWidth="1"/>
    <col min="1778" max="2005" width="11.42578125" style="45"/>
    <col min="2006" max="2008" width="0" style="45" hidden="1" customWidth="1"/>
    <col min="2009" max="2009" width="39.42578125" style="45" customWidth="1"/>
    <col min="2010" max="2010" width="15.42578125" style="45" customWidth="1"/>
    <col min="2011" max="2025" width="0" style="45" hidden="1" customWidth="1"/>
    <col min="2026" max="2026" width="14.140625" style="45" customWidth="1"/>
    <col min="2027" max="2027" width="0" style="45" hidden="1" customWidth="1"/>
    <col min="2028" max="2028" width="19" style="45" bestFit="1" customWidth="1"/>
    <col min="2029" max="2030" width="14.28515625" style="45" bestFit="1" customWidth="1"/>
    <col min="2031" max="2033" width="12.28515625" style="45" bestFit="1" customWidth="1"/>
    <col min="2034" max="2261" width="11.42578125" style="45"/>
    <col min="2262" max="2264" width="0" style="45" hidden="1" customWidth="1"/>
    <col min="2265" max="2265" width="39.42578125" style="45" customWidth="1"/>
    <col min="2266" max="2266" width="15.42578125" style="45" customWidth="1"/>
    <col min="2267" max="2281" width="0" style="45" hidden="1" customWidth="1"/>
    <col min="2282" max="2282" width="14.140625" style="45" customWidth="1"/>
    <col min="2283" max="2283" width="0" style="45" hidden="1" customWidth="1"/>
    <col min="2284" max="2284" width="19" style="45" bestFit="1" customWidth="1"/>
    <col min="2285" max="2286" width="14.28515625" style="45" bestFit="1" customWidth="1"/>
    <col min="2287" max="2289" width="12.28515625" style="45" bestFit="1" customWidth="1"/>
    <col min="2290" max="2517" width="11.42578125" style="45"/>
    <col min="2518" max="2520" width="0" style="45" hidden="1" customWidth="1"/>
    <col min="2521" max="2521" width="39.42578125" style="45" customWidth="1"/>
    <col min="2522" max="2522" width="15.42578125" style="45" customWidth="1"/>
    <col min="2523" max="2537" width="0" style="45" hidden="1" customWidth="1"/>
    <col min="2538" max="2538" width="14.140625" style="45" customWidth="1"/>
    <col min="2539" max="2539" width="0" style="45" hidden="1" customWidth="1"/>
    <col min="2540" max="2540" width="19" style="45" bestFit="1" customWidth="1"/>
    <col min="2541" max="2542" width="14.28515625" style="45" bestFit="1" customWidth="1"/>
    <col min="2543" max="2545" width="12.28515625" style="45" bestFit="1" customWidth="1"/>
    <col min="2546" max="2773" width="11.42578125" style="45"/>
    <col min="2774" max="2776" width="0" style="45" hidden="1" customWidth="1"/>
    <col min="2777" max="2777" width="39.42578125" style="45" customWidth="1"/>
    <col min="2778" max="2778" width="15.42578125" style="45" customWidth="1"/>
    <col min="2779" max="2793" width="0" style="45" hidden="1" customWidth="1"/>
    <col min="2794" max="2794" width="14.140625" style="45" customWidth="1"/>
    <col min="2795" max="2795" width="0" style="45" hidden="1" customWidth="1"/>
    <col min="2796" max="2796" width="19" style="45" bestFit="1" customWidth="1"/>
    <col min="2797" max="2798" width="14.28515625" style="45" bestFit="1" customWidth="1"/>
    <col min="2799" max="2801" width="12.28515625" style="45" bestFit="1" customWidth="1"/>
    <col min="2802" max="3029" width="11.42578125" style="45"/>
    <col min="3030" max="3032" width="0" style="45" hidden="1" customWidth="1"/>
    <col min="3033" max="3033" width="39.42578125" style="45" customWidth="1"/>
    <col min="3034" max="3034" width="15.42578125" style="45" customWidth="1"/>
    <col min="3035" max="3049" width="0" style="45" hidden="1" customWidth="1"/>
    <col min="3050" max="3050" width="14.140625" style="45" customWidth="1"/>
    <col min="3051" max="3051" width="0" style="45" hidden="1" customWidth="1"/>
    <col min="3052" max="3052" width="19" style="45" bestFit="1" customWidth="1"/>
    <col min="3053" max="3054" width="14.28515625" style="45" bestFit="1" customWidth="1"/>
    <col min="3055" max="3057" width="12.28515625" style="45" bestFit="1" customWidth="1"/>
    <col min="3058" max="3285" width="11.42578125" style="45"/>
    <col min="3286" max="3288" width="0" style="45" hidden="1" customWidth="1"/>
    <col min="3289" max="3289" width="39.42578125" style="45" customWidth="1"/>
    <col min="3290" max="3290" width="15.42578125" style="45" customWidth="1"/>
    <col min="3291" max="3305" width="0" style="45" hidden="1" customWidth="1"/>
    <col min="3306" max="3306" width="14.140625" style="45" customWidth="1"/>
    <col min="3307" max="3307" width="0" style="45" hidden="1" customWidth="1"/>
    <col min="3308" max="3308" width="19" style="45" bestFit="1" customWidth="1"/>
    <col min="3309" max="3310" width="14.28515625" style="45" bestFit="1" customWidth="1"/>
    <col min="3311" max="3313" width="12.28515625" style="45" bestFit="1" customWidth="1"/>
    <col min="3314" max="3541" width="11.42578125" style="45"/>
    <col min="3542" max="3544" width="0" style="45" hidden="1" customWidth="1"/>
    <col min="3545" max="3545" width="39.42578125" style="45" customWidth="1"/>
    <col min="3546" max="3546" width="15.42578125" style="45" customWidth="1"/>
    <col min="3547" max="3561" width="0" style="45" hidden="1" customWidth="1"/>
    <col min="3562" max="3562" width="14.140625" style="45" customWidth="1"/>
    <col min="3563" max="3563" width="0" style="45" hidden="1" customWidth="1"/>
    <col min="3564" max="3564" width="19" style="45" bestFit="1" customWidth="1"/>
    <col min="3565" max="3566" width="14.28515625" style="45" bestFit="1" customWidth="1"/>
    <col min="3567" max="3569" width="12.28515625" style="45" bestFit="1" customWidth="1"/>
    <col min="3570" max="3797" width="11.42578125" style="45"/>
    <col min="3798" max="3800" width="0" style="45" hidden="1" customWidth="1"/>
    <col min="3801" max="3801" width="39.42578125" style="45" customWidth="1"/>
    <col min="3802" max="3802" width="15.42578125" style="45" customWidth="1"/>
    <col min="3803" max="3817" width="0" style="45" hidden="1" customWidth="1"/>
    <col min="3818" max="3818" width="14.140625" style="45" customWidth="1"/>
    <col min="3819" max="3819" width="0" style="45" hidden="1" customWidth="1"/>
    <col min="3820" max="3820" width="19" style="45" bestFit="1" customWidth="1"/>
    <col min="3821" max="3822" width="14.28515625" style="45" bestFit="1" customWidth="1"/>
    <col min="3823" max="3825" width="12.28515625" style="45" bestFit="1" customWidth="1"/>
    <col min="3826" max="4053" width="11.42578125" style="45"/>
    <col min="4054" max="4056" width="0" style="45" hidden="1" customWidth="1"/>
    <col min="4057" max="4057" width="39.42578125" style="45" customWidth="1"/>
    <col min="4058" max="4058" width="15.42578125" style="45" customWidth="1"/>
    <col min="4059" max="4073" width="0" style="45" hidden="1" customWidth="1"/>
    <col min="4074" max="4074" width="14.140625" style="45" customWidth="1"/>
    <col min="4075" max="4075" width="0" style="45" hidden="1" customWidth="1"/>
    <col min="4076" max="4076" width="19" style="45" bestFit="1" customWidth="1"/>
    <col min="4077" max="4078" width="14.28515625" style="45" bestFit="1" customWidth="1"/>
    <col min="4079" max="4081" width="12.28515625" style="45" bestFit="1" customWidth="1"/>
    <col min="4082" max="4309" width="11.42578125" style="45"/>
    <col min="4310" max="4312" width="0" style="45" hidden="1" customWidth="1"/>
    <col min="4313" max="4313" width="39.42578125" style="45" customWidth="1"/>
    <col min="4314" max="4314" width="15.42578125" style="45" customWidth="1"/>
    <col min="4315" max="4329" width="0" style="45" hidden="1" customWidth="1"/>
    <col min="4330" max="4330" width="14.140625" style="45" customWidth="1"/>
    <col min="4331" max="4331" width="0" style="45" hidden="1" customWidth="1"/>
    <col min="4332" max="4332" width="19" style="45" bestFit="1" customWidth="1"/>
    <col min="4333" max="4334" width="14.28515625" style="45" bestFit="1" customWidth="1"/>
    <col min="4335" max="4337" width="12.28515625" style="45" bestFit="1" customWidth="1"/>
    <col min="4338" max="4565" width="11.42578125" style="45"/>
    <col min="4566" max="4568" width="0" style="45" hidden="1" customWidth="1"/>
    <col min="4569" max="4569" width="39.42578125" style="45" customWidth="1"/>
    <col min="4570" max="4570" width="15.42578125" style="45" customWidth="1"/>
    <col min="4571" max="4585" width="0" style="45" hidden="1" customWidth="1"/>
    <col min="4586" max="4586" width="14.140625" style="45" customWidth="1"/>
    <col min="4587" max="4587" width="0" style="45" hidden="1" customWidth="1"/>
    <col min="4588" max="4588" width="19" style="45" bestFit="1" customWidth="1"/>
    <col min="4589" max="4590" width="14.28515625" style="45" bestFit="1" customWidth="1"/>
    <col min="4591" max="4593" width="12.28515625" style="45" bestFit="1" customWidth="1"/>
    <col min="4594" max="4821" width="11.42578125" style="45"/>
    <col min="4822" max="4824" width="0" style="45" hidden="1" customWidth="1"/>
    <col min="4825" max="4825" width="39.42578125" style="45" customWidth="1"/>
    <col min="4826" max="4826" width="15.42578125" style="45" customWidth="1"/>
    <col min="4827" max="4841" width="0" style="45" hidden="1" customWidth="1"/>
    <col min="4842" max="4842" width="14.140625" style="45" customWidth="1"/>
    <col min="4843" max="4843" width="0" style="45" hidden="1" customWidth="1"/>
    <col min="4844" max="4844" width="19" style="45" bestFit="1" customWidth="1"/>
    <col min="4845" max="4846" width="14.28515625" style="45" bestFit="1" customWidth="1"/>
    <col min="4847" max="4849" width="12.28515625" style="45" bestFit="1" customWidth="1"/>
    <col min="4850" max="5077" width="11.42578125" style="45"/>
    <col min="5078" max="5080" width="0" style="45" hidden="1" customWidth="1"/>
    <col min="5081" max="5081" width="39.42578125" style="45" customWidth="1"/>
    <col min="5082" max="5082" width="15.42578125" style="45" customWidth="1"/>
    <col min="5083" max="5097" width="0" style="45" hidden="1" customWidth="1"/>
    <col min="5098" max="5098" width="14.140625" style="45" customWidth="1"/>
    <col min="5099" max="5099" width="0" style="45" hidden="1" customWidth="1"/>
    <col min="5100" max="5100" width="19" style="45" bestFit="1" customWidth="1"/>
    <col min="5101" max="5102" width="14.28515625" style="45" bestFit="1" customWidth="1"/>
    <col min="5103" max="5105" width="12.28515625" style="45" bestFit="1" customWidth="1"/>
    <col min="5106" max="5333" width="11.42578125" style="45"/>
    <col min="5334" max="5336" width="0" style="45" hidden="1" customWidth="1"/>
    <col min="5337" max="5337" width="39.42578125" style="45" customWidth="1"/>
    <col min="5338" max="5338" width="15.42578125" style="45" customWidth="1"/>
    <col min="5339" max="5353" width="0" style="45" hidden="1" customWidth="1"/>
    <col min="5354" max="5354" width="14.140625" style="45" customWidth="1"/>
    <col min="5355" max="5355" width="0" style="45" hidden="1" customWidth="1"/>
    <col min="5356" max="5356" width="19" style="45" bestFit="1" customWidth="1"/>
    <col min="5357" max="5358" width="14.28515625" style="45" bestFit="1" customWidth="1"/>
    <col min="5359" max="5361" width="12.28515625" style="45" bestFit="1" customWidth="1"/>
    <col min="5362" max="5589" width="11.42578125" style="45"/>
    <col min="5590" max="5592" width="0" style="45" hidden="1" customWidth="1"/>
    <col min="5593" max="5593" width="39.42578125" style="45" customWidth="1"/>
    <col min="5594" max="5594" width="15.42578125" style="45" customWidth="1"/>
    <col min="5595" max="5609" width="0" style="45" hidden="1" customWidth="1"/>
    <col min="5610" max="5610" width="14.140625" style="45" customWidth="1"/>
    <col min="5611" max="5611" width="0" style="45" hidden="1" customWidth="1"/>
    <col min="5612" max="5612" width="19" style="45" bestFit="1" customWidth="1"/>
    <col min="5613" max="5614" width="14.28515625" style="45" bestFit="1" customWidth="1"/>
    <col min="5615" max="5617" width="12.28515625" style="45" bestFit="1" customWidth="1"/>
    <col min="5618" max="5845" width="11.42578125" style="45"/>
    <col min="5846" max="5848" width="0" style="45" hidden="1" customWidth="1"/>
    <col min="5849" max="5849" width="39.42578125" style="45" customWidth="1"/>
    <col min="5850" max="5850" width="15.42578125" style="45" customWidth="1"/>
    <col min="5851" max="5865" width="0" style="45" hidden="1" customWidth="1"/>
    <col min="5866" max="5866" width="14.140625" style="45" customWidth="1"/>
    <col min="5867" max="5867" width="0" style="45" hidden="1" customWidth="1"/>
    <col min="5868" max="5868" width="19" style="45" bestFit="1" customWidth="1"/>
    <col min="5869" max="5870" width="14.28515625" style="45" bestFit="1" customWidth="1"/>
    <col min="5871" max="5873" width="12.28515625" style="45" bestFit="1" customWidth="1"/>
    <col min="5874" max="6101" width="11.42578125" style="45"/>
    <col min="6102" max="6104" width="0" style="45" hidden="1" customWidth="1"/>
    <col min="6105" max="6105" width="39.42578125" style="45" customWidth="1"/>
    <col min="6106" max="6106" width="15.42578125" style="45" customWidth="1"/>
    <col min="6107" max="6121" width="0" style="45" hidden="1" customWidth="1"/>
    <col min="6122" max="6122" width="14.140625" style="45" customWidth="1"/>
    <col min="6123" max="6123" width="0" style="45" hidden="1" customWidth="1"/>
    <col min="6124" max="6124" width="19" style="45" bestFit="1" customWidth="1"/>
    <col min="6125" max="6126" width="14.28515625" style="45" bestFit="1" customWidth="1"/>
    <col min="6127" max="6129" width="12.28515625" style="45" bestFit="1" customWidth="1"/>
    <col min="6130" max="6357" width="11.42578125" style="45"/>
    <col min="6358" max="6360" width="0" style="45" hidden="1" customWidth="1"/>
    <col min="6361" max="6361" width="39.42578125" style="45" customWidth="1"/>
    <col min="6362" max="6362" width="15.42578125" style="45" customWidth="1"/>
    <col min="6363" max="6377" width="0" style="45" hidden="1" customWidth="1"/>
    <col min="6378" max="6378" width="14.140625" style="45" customWidth="1"/>
    <col min="6379" max="6379" width="0" style="45" hidden="1" customWidth="1"/>
    <col min="6380" max="6380" width="19" style="45" bestFit="1" customWidth="1"/>
    <col min="6381" max="6382" width="14.28515625" style="45" bestFit="1" customWidth="1"/>
    <col min="6383" max="6385" width="12.28515625" style="45" bestFit="1" customWidth="1"/>
    <col min="6386" max="6613" width="11.42578125" style="45"/>
    <col min="6614" max="6616" width="0" style="45" hidden="1" customWidth="1"/>
    <col min="6617" max="6617" width="39.42578125" style="45" customWidth="1"/>
    <col min="6618" max="6618" width="15.42578125" style="45" customWidth="1"/>
    <col min="6619" max="6633" width="0" style="45" hidden="1" customWidth="1"/>
    <col min="6634" max="6634" width="14.140625" style="45" customWidth="1"/>
    <col min="6635" max="6635" width="0" style="45" hidden="1" customWidth="1"/>
    <col min="6636" max="6636" width="19" style="45" bestFit="1" customWidth="1"/>
    <col min="6637" max="6638" width="14.28515625" style="45" bestFit="1" customWidth="1"/>
    <col min="6639" max="6641" width="12.28515625" style="45" bestFit="1" customWidth="1"/>
    <col min="6642" max="6869" width="11.42578125" style="45"/>
    <col min="6870" max="6872" width="0" style="45" hidden="1" customWidth="1"/>
    <col min="6873" max="6873" width="39.42578125" style="45" customWidth="1"/>
    <col min="6874" max="6874" width="15.42578125" style="45" customWidth="1"/>
    <col min="6875" max="6889" width="0" style="45" hidden="1" customWidth="1"/>
    <col min="6890" max="6890" width="14.140625" style="45" customWidth="1"/>
    <col min="6891" max="6891" width="0" style="45" hidden="1" customWidth="1"/>
    <col min="6892" max="6892" width="19" style="45" bestFit="1" customWidth="1"/>
    <col min="6893" max="6894" width="14.28515625" style="45" bestFit="1" customWidth="1"/>
    <col min="6895" max="6897" width="12.28515625" style="45" bestFit="1" customWidth="1"/>
    <col min="6898" max="7125" width="11.42578125" style="45"/>
    <col min="7126" max="7128" width="0" style="45" hidden="1" customWidth="1"/>
    <col min="7129" max="7129" width="39.42578125" style="45" customWidth="1"/>
    <col min="7130" max="7130" width="15.42578125" style="45" customWidth="1"/>
    <col min="7131" max="7145" width="0" style="45" hidden="1" customWidth="1"/>
    <col min="7146" max="7146" width="14.140625" style="45" customWidth="1"/>
    <col min="7147" max="7147" width="0" style="45" hidden="1" customWidth="1"/>
    <col min="7148" max="7148" width="19" style="45" bestFit="1" customWidth="1"/>
    <col min="7149" max="7150" width="14.28515625" style="45" bestFit="1" customWidth="1"/>
    <col min="7151" max="7153" width="12.28515625" style="45" bestFit="1" customWidth="1"/>
    <col min="7154" max="7381" width="11.42578125" style="45"/>
    <col min="7382" max="7384" width="0" style="45" hidden="1" customWidth="1"/>
    <col min="7385" max="7385" width="39.42578125" style="45" customWidth="1"/>
    <col min="7386" max="7386" width="15.42578125" style="45" customWidth="1"/>
    <col min="7387" max="7401" width="0" style="45" hidden="1" customWidth="1"/>
    <col min="7402" max="7402" width="14.140625" style="45" customWidth="1"/>
    <col min="7403" max="7403" width="0" style="45" hidden="1" customWidth="1"/>
    <col min="7404" max="7404" width="19" style="45" bestFit="1" customWidth="1"/>
    <col min="7405" max="7406" width="14.28515625" style="45" bestFit="1" customWidth="1"/>
    <col min="7407" max="7409" width="12.28515625" style="45" bestFit="1" customWidth="1"/>
    <col min="7410" max="7637" width="11.42578125" style="45"/>
    <col min="7638" max="7640" width="0" style="45" hidden="1" customWidth="1"/>
    <col min="7641" max="7641" width="39.42578125" style="45" customWidth="1"/>
    <col min="7642" max="7642" width="15.42578125" style="45" customWidth="1"/>
    <col min="7643" max="7657" width="0" style="45" hidden="1" customWidth="1"/>
    <col min="7658" max="7658" width="14.140625" style="45" customWidth="1"/>
    <col min="7659" max="7659" width="0" style="45" hidden="1" customWidth="1"/>
    <col min="7660" max="7660" width="19" style="45" bestFit="1" customWidth="1"/>
    <col min="7661" max="7662" width="14.28515625" style="45" bestFit="1" customWidth="1"/>
    <col min="7663" max="7665" width="12.28515625" style="45" bestFit="1" customWidth="1"/>
    <col min="7666" max="7893" width="11.42578125" style="45"/>
    <col min="7894" max="7896" width="0" style="45" hidden="1" customWidth="1"/>
    <col min="7897" max="7897" width="39.42578125" style="45" customWidth="1"/>
    <col min="7898" max="7898" width="15.42578125" style="45" customWidth="1"/>
    <col min="7899" max="7913" width="0" style="45" hidden="1" customWidth="1"/>
    <col min="7914" max="7914" width="14.140625" style="45" customWidth="1"/>
    <col min="7915" max="7915" width="0" style="45" hidden="1" customWidth="1"/>
    <col min="7916" max="7916" width="19" style="45" bestFit="1" customWidth="1"/>
    <col min="7917" max="7918" width="14.28515625" style="45" bestFit="1" customWidth="1"/>
    <col min="7919" max="7921" width="12.28515625" style="45" bestFit="1" customWidth="1"/>
    <col min="7922" max="8149" width="11.42578125" style="45"/>
    <col min="8150" max="8152" width="0" style="45" hidden="1" customWidth="1"/>
    <col min="8153" max="8153" width="39.42578125" style="45" customWidth="1"/>
    <col min="8154" max="8154" width="15.42578125" style="45" customWidth="1"/>
    <col min="8155" max="8169" width="0" style="45" hidden="1" customWidth="1"/>
    <col min="8170" max="8170" width="14.140625" style="45" customWidth="1"/>
    <col min="8171" max="8171" width="0" style="45" hidden="1" customWidth="1"/>
    <col min="8172" max="8172" width="19" style="45" bestFit="1" customWidth="1"/>
    <col min="8173" max="8174" width="14.28515625" style="45" bestFit="1" customWidth="1"/>
    <col min="8175" max="8177" width="12.28515625" style="45" bestFit="1" customWidth="1"/>
    <col min="8178" max="8405" width="11.42578125" style="45"/>
    <col min="8406" max="8408" width="0" style="45" hidden="1" customWidth="1"/>
    <col min="8409" max="8409" width="39.42578125" style="45" customWidth="1"/>
    <col min="8410" max="8410" width="15.42578125" style="45" customWidth="1"/>
    <col min="8411" max="8425" width="0" style="45" hidden="1" customWidth="1"/>
    <col min="8426" max="8426" width="14.140625" style="45" customWidth="1"/>
    <col min="8427" max="8427" width="0" style="45" hidden="1" customWidth="1"/>
    <col min="8428" max="8428" width="19" style="45" bestFit="1" customWidth="1"/>
    <col min="8429" max="8430" width="14.28515625" style="45" bestFit="1" customWidth="1"/>
    <col min="8431" max="8433" width="12.28515625" style="45" bestFit="1" customWidth="1"/>
    <col min="8434" max="8661" width="11.42578125" style="45"/>
    <col min="8662" max="8664" width="0" style="45" hidden="1" customWidth="1"/>
    <col min="8665" max="8665" width="39.42578125" style="45" customWidth="1"/>
    <col min="8666" max="8666" width="15.42578125" style="45" customWidth="1"/>
    <col min="8667" max="8681" width="0" style="45" hidden="1" customWidth="1"/>
    <col min="8682" max="8682" width="14.140625" style="45" customWidth="1"/>
    <col min="8683" max="8683" width="0" style="45" hidden="1" customWidth="1"/>
    <col min="8684" max="8684" width="19" style="45" bestFit="1" customWidth="1"/>
    <col min="8685" max="8686" width="14.28515625" style="45" bestFit="1" customWidth="1"/>
    <col min="8687" max="8689" width="12.28515625" style="45" bestFit="1" customWidth="1"/>
    <col min="8690" max="8917" width="11.42578125" style="45"/>
    <col min="8918" max="8920" width="0" style="45" hidden="1" customWidth="1"/>
    <col min="8921" max="8921" width="39.42578125" style="45" customWidth="1"/>
    <col min="8922" max="8922" width="15.42578125" style="45" customWidth="1"/>
    <col min="8923" max="8937" width="0" style="45" hidden="1" customWidth="1"/>
    <col min="8938" max="8938" width="14.140625" style="45" customWidth="1"/>
    <col min="8939" max="8939" width="0" style="45" hidden="1" customWidth="1"/>
    <col min="8940" max="8940" width="19" style="45" bestFit="1" customWidth="1"/>
    <col min="8941" max="8942" width="14.28515625" style="45" bestFit="1" customWidth="1"/>
    <col min="8943" max="8945" width="12.28515625" style="45" bestFit="1" customWidth="1"/>
    <col min="8946" max="9173" width="11.42578125" style="45"/>
    <col min="9174" max="9176" width="0" style="45" hidden="1" customWidth="1"/>
    <col min="9177" max="9177" width="39.42578125" style="45" customWidth="1"/>
    <col min="9178" max="9178" width="15.42578125" style="45" customWidth="1"/>
    <col min="9179" max="9193" width="0" style="45" hidden="1" customWidth="1"/>
    <col min="9194" max="9194" width="14.140625" style="45" customWidth="1"/>
    <col min="9195" max="9195" width="0" style="45" hidden="1" customWidth="1"/>
    <col min="9196" max="9196" width="19" style="45" bestFit="1" customWidth="1"/>
    <col min="9197" max="9198" width="14.28515625" style="45" bestFit="1" customWidth="1"/>
    <col min="9199" max="9201" width="12.28515625" style="45" bestFit="1" customWidth="1"/>
    <col min="9202" max="9429" width="11.42578125" style="45"/>
    <col min="9430" max="9432" width="0" style="45" hidden="1" customWidth="1"/>
    <col min="9433" max="9433" width="39.42578125" style="45" customWidth="1"/>
    <col min="9434" max="9434" width="15.42578125" style="45" customWidth="1"/>
    <col min="9435" max="9449" width="0" style="45" hidden="1" customWidth="1"/>
    <col min="9450" max="9450" width="14.140625" style="45" customWidth="1"/>
    <col min="9451" max="9451" width="0" style="45" hidden="1" customWidth="1"/>
    <col min="9452" max="9452" width="19" style="45" bestFit="1" customWidth="1"/>
    <col min="9453" max="9454" width="14.28515625" style="45" bestFit="1" customWidth="1"/>
    <col min="9455" max="9457" width="12.28515625" style="45" bestFit="1" customWidth="1"/>
    <col min="9458" max="9685" width="11.42578125" style="45"/>
    <col min="9686" max="9688" width="0" style="45" hidden="1" customWidth="1"/>
    <col min="9689" max="9689" width="39.42578125" style="45" customWidth="1"/>
    <col min="9690" max="9690" width="15.42578125" style="45" customWidth="1"/>
    <col min="9691" max="9705" width="0" style="45" hidden="1" customWidth="1"/>
    <col min="9706" max="9706" width="14.140625" style="45" customWidth="1"/>
    <col min="9707" max="9707" width="0" style="45" hidden="1" customWidth="1"/>
    <col min="9708" max="9708" width="19" style="45" bestFit="1" customWidth="1"/>
    <col min="9709" max="9710" width="14.28515625" style="45" bestFit="1" customWidth="1"/>
    <col min="9711" max="9713" width="12.28515625" style="45" bestFit="1" customWidth="1"/>
    <col min="9714" max="9941" width="11.42578125" style="45"/>
    <col min="9942" max="9944" width="0" style="45" hidden="1" customWidth="1"/>
    <col min="9945" max="9945" width="39.42578125" style="45" customWidth="1"/>
    <col min="9946" max="9946" width="15.42578125" style="45" customWidth="1"/>
    <col min="9947" max="9961" width="0" style="45" hidden="1" customWidth="1"/>
    <col min="9962" max="9962" width="14.140625" style="45" customWidth="1"/>
    <col min="9963" max="9963" width="0" style="45" hidden="1" customWidth="1"/>
    <col min="9964" max="9964" width="19" style="45" bestFit="1" customWidth="1"/>
    <col min="9965" max="9966" width="14.28515625" style="45" bestFit="1" customWidth="1"/>
    <col min="9967" max="9969" width="12.28515625" style="45" bestFit="1" customWidth="1"/>
    <col min="9970" max="10197" width="11.42578125" style="45"/>
    <col min="10198" max="10200" width="0" style="45" hidden="1" customWidth="1"/>
    <col min="10201" max="10201" width="39.42578125" style="45" customWidth="1"/>
    <col min="10202" max="10202" width="15.42578125" style="45" customWidth="1"/>
    <col min="10203" max="10217" width="0" style="45" hidden="1" customWidth="1"/>
    <col min="10218" max="10218" width="14.140625" style="45" customWidth="1"/>
    <col min="10219" max="10219" width="0" style="45" hidden="1" customWidth="1"/>
    <col min="10220" max="10220" width="19" style="45" bestFit="1" customWidth="1"/>
    <col min="10221" max="10222" width="14.28515625" style="45" bestFit="1" customWidth="1"/>
    <col min="10223" max="10225" width="12.28515625" style="45" bestFit="1" customWidth="1"/>
    <col min="10226" max="10453" width="11.42578125" style="45"/>
    <col min="10454" max="10456" width="0" style="45" hidden="1" customWidth="1"/>
    <col min="10457" max="10457" width="39.42578125" style="45" customWidth="1"/>
    <col min="10458" max="10458" width="15.42578125" style="45" customWidth="1"/>
    <col min="10459" max="10473" width="0" style="45" hidden="1" customWidth="1"/>
    <col min="10474" max="10474" width="14.140625" style="45" customWidth="1"/>
    <col min="10475" max="10475" width="0" style="45" hidden="1" customWidth="1"/>
    <col min="10476" max="10476" width="19" style="45" bestFit="1" customWidth="1"/>
    <col min="10477" max="10478" width="14.28515625" style="45" bestFit="1" customWidth="1"/>
    <col min="10479" max="10481" width="12.28515625" style="45" bestFit="1" customWidth="1"/>
    <col min="10482" max="10709" width="11.42578125" style="45"/>
    <col min="10710" max="10712" width="0" style="45" hidden="1" customWidth="1"/>
    <col min="10713" max="10713" width="39.42578125" style="45" customWidth="1"/>
    <col min="10714" max="10714" width="15.42578125" style="45" customWidth="1"/>
    <col min="10715" max="10729" width="0" style="45" hidden="1" customWidth="1"/>
    <col min="10730" max="10730" width="14.140625" style="45" customWidth="1"/>
    <col min="10731" max="10731" width="0" style="45" hidden="1" customWidth="1"/>
    <col min="10732" max="10732" width="19" style="45" bestFit="1" customWidth="1"/>
    <col min="10733" max="10734" width="14.28515625" style="45" bestFit="1" customWidth="1"/>
    <col min="10735" max="10737" width="12.28515625" style="45" bestFit="1" customWidth="1"/>
    <col min="10738" max="10965" width="11.42578125" style="45"/>
    <col min="10966" max="10968" width="0" style="45" hidden="1" customWidth="1"/>
    <col min="10969" max="10969" width="39.42578125" style="45" customWidth="1"/>
    <col min="10970" max="10970" width="15.42578125" style="45" customWidth="1"/>
    <col min="10971" max="10985" width="0" style="45" hidden="1" customWidth="1"/>
    <col min="10986" max="10986" width="14.140625" style="45" customWidth="1"/>
    <col min="10987" max="10987" width="0" style="45" hidden="1" customWidth="1"/>
    <col min="10988" max="10988" width="19" style="45" bestFit="1" customWidth="1"/>
    <col min="10989" max="10990" width="14.28515625" style="45" bestFit="1" customWidth="1"/>
    <col min="10991" max="10993" width="12.28515625" style="45" bestFit="1" customWidth="1"/>
    <col min="10994" max="11221" width="11.42578125" style="45"/>
    <col min="11222" max="11224" width="0" style="45" hidden="1" customWidth="1"/>
    <col min="11225" max="11225" width="39.42578125" style="45" customWidth="1"/>
    <col min="11226" max="11226" width="15.42578125" style="45" customWidth="1"/>
    <col min="11227" max="11241" width="0" style="45" hidden="1" customWidth="1"/>
    <col min="11242" max="11242" width="14.140625" style="45" customWidth="1"/>
    <col min="11243" max="11243" width="0" style="45" hidden="1" customWidth="1"/>
    <col min="11244" max="11244" width="19" style="45" bestFit="1" customWidth="1"/>
    <col min="11245" max="11246" width="14.28515625" style="45" bestFit="1" customWidth="1"/>
    <col min="11247" max="11249" width="12.28515625" style="45" bestFit="1" customWidth="1"/>
    <col min="11250" max="11477" width="11.42578125" style="45"/>
    <col min="11478" max="11480" width="0" style="45" hidden="1" customWidth="1"/>
    <col min="11481" max="11481" width="39.42578125" style="45" customWidth="1"/>
    <col min="11482" max="11482" width="15.42578125" style="45" customWidth="1"/>
    <col min="11483" max="11497" width="0" style="45" hidden="1" customWidth="1"/>
    <col min="11498" max="11498" width="14.140625" style="45" customWidth="1"/>
    <col min="11499" max="11499" width="0" style="45" hidden="1" customWidth="1"/>
    <col min="11500" max="11500" width="19" style="45" bestFit="1" customWidth="1"/>
    <col min="11501" max="11502" width="14.28515625" style="45" bestFit="1" customWidth="1"/>
    <col min="11503" max="11505" width="12.28515625" style="45" bestFit="1" customWidth="1"/>
    <col min="11506" max="11733" width="11.42578125" style="45"/>
    <col min="11734" max="11736" width="0" style="45" hidden="1" customWidth="1"/>
    <col min="11737" max="11737" width="39.42578125" style="45" customWidth="1"/>
    <col min="11738" max="11738" width="15.42578125" style="45" customWidth="1"/>
    <col min="11739" max="11753" width="0" style="45" hidden="1" customWidth="1"/>
    <col min="11754" max="11754" width="14.140625" style="45" customWidth="1"/>
    <col min="11755" max="11755" width="0" style="45" hidden="1" customWidth="1"/>
    <col min="11756" max="11756" width="19" style="45" bestFit="1" customWidth="1"/>
    <col min="11757" max="11758" width="14.28515625" style="45" bestFit="1" customWidth="1"/>
    <col min="11759" max="11761" width="12.28515625" style="45" bestFit="1" customWidth="1"/>
    <col min="11762" max="11989" width="11.42578125" style="45"/>
    <col min="11990" max="11992" width="0" style="45" hidden="1" customWidth="1"/>
    <col min="11993" max="11993" width="39.42578125" style="45" customWidth="1"/>
    <col min="11994" max="11994" width="15.42578125" style="45" customWidth="1"/>
    <col min="11995" max="12009" width="0" style="45" hidden="1" customWidth="1"/>
    <col min="12010" max="12010" width="14.140625" style="45" customWidth="1"/>
    <col min="12011" max="12011" width="0" style="45" hidden="1" customWidth="1"/>
    <col min="12012" max="12012" width="19" style="45" bestFit="1" customWidth="1"/>
    <col min="12013" max="12014" width="14.28515625" style="45" bestFit="1" customWidth="1"/>
    <col min="12015" max="12017" width="12.28515625" style="45" bestFit="1" customWidth="1"/>
    <col min="12018" max="12245" width="11.42578125" style="45"/>
    <col min="12246" max="12248" width="0" style="45" hidden="1" customWidth="1"/>
    <col min="12249" max="12249" width="39.42578125" style="45" customWidth="1"/>
    <col min="12250" max="12250" width="15.42578125" style="45" customWidth="1"/>
    <col min="12251" max="12265" width="0" style="45" hidden="1" customWidth="1"/>
    <col min="12266" max="12266" width="14.140625" style="45" customWidth="1"/>
    <col min="12267" max="12267" width="0" style="45" hidden="1" customWidth="1"/>
    <col min="12268" max="12268" width="19" style="45" bestFit="1" customWidth="1"/>
    <col min="12269" max="12270" width="14.28515625" style="45" bestFit="1" customWidth="1"/>
    <col min="12271" max="12273" width="12.28515625" style="45" bestFit="1" customWidth="1"/>
    <col min="12274" max="12501" width="11.42578125" style="45"/>
    <col min="12502" max="12504" width="0" style="45" hidden="1" customWidth="1"/>
    <col min="12505" max="12505" width="39.42578125" style="45" customWidth="1"/>
    <col min="12506" max="12506" width="15.42578125" style="45" customWidth="1"/>
    <col min="12507" max="12521" width="0" style="45" hidden="1" customWidth="1"/>
    <col min="12522" max="12522" width="14.140625" style="45" customWidth="1"/>
    <col min="12523" max="12523" width="0" style="45" hidden="1" customWidth="1"/>
    <col min="12524" max="12524" width="19" style="45" bestFit="1" customWidth="1"/>
    <col min="12525" max="12526" width="14.28515625" style="45" bestFit="1" customWidth="1"/>
    <col min="12527" max="12529" width="12.28515625" style="45" bestFit="1" customWidth="1"/>
    <col min="12530" max="12757" width="11.42578125" style="45"/>
    <col min="12758" max="12760" width="0" style="45" hidden="1" customWidth="1"/>
    <col min="12761" max="12761" width="39.42578125" style="45" customWidth="1"/>
    <col min="12762" max="12762" width="15.42578125" style="45" customWidth="1"/>
    <col min="12763" max="12777" width="0" style="45" hidden="1" customWidth="1"/>
    <col min="12778" max="12778" width="14.140625" style="45" customWidth="1"/>
    <col min="12779" max="12779" width="0" style="45" hidden="1" customWidth="1"/>
    <col min="12780" max="12780" width="19" style="45" bestFit="1" customWidth="1"/>
    <col min="12781" max="12782" width="14.28515625" style="45" bestFit="1" customWidth="1"/>
    <col min="12783" max="12785" width="12.28515625" style="45" bestFit="1" customWidth="1"/>
    <col min="12786" max="13013" width="11.42578125" style="45"/>
    <col min="13014" max="13016" width="0" style="45" hidden="1" customWidth="1"/>
    <col min="13017" max="13017" width="39.42578125" style="45" customWidth="1"/>
    <col min="13018" max="13018" width="15.42578125" style="45" customWidth="1"/>
    <col min="13019" max="13033" width="0" style="45" hidden="1" customWidth="1"/>
    <col min="13034" max="13034" width="14.140625" style="45" customWidth="1"/>
    <col min="13035" max="13035" width="0" style="45" hidden="1" customWidth="1"/>
    <col min="13036" max="13036" width="19" style="45" bestFit="1" customWidth="1"/>
    <col min="13037" max="13038" width="14.28515625" style="45" bestFit="1" customWidth="1"/>
    <col min="13039" max="13041" width="12.28515625" style="45" bestFit="1" customWidth="1"/>
    <col min="13042" max="13269" width="11.42578125" style="45"/>
    <col min="13270" max="13272" width="0" style="45" hidden="1" customWidth="1"/>
    <col min="13273" max="13273" width="39.42578125" style="45" customWidth="1"/>
    <col min="13274" max="13274" width="15.42578125" style="45" customWidth="1"/>
    <col min="13275" max="13289" width="0" style="45" hidden="1" customWidth="1"/>
    <col min="13290" max="13290" width="14.140625" style="45" customWidth="1"/>
    <col min="13291" max="13291" width="0" style="45" hidden="1" customWidth="1"/>
    <col min="13292" max="13292" width="19" style="45" bestFit="1" customWidth="1"/>
    <col min="13293" max="13294" width="14.28515625" style="45" bestFit="1" customWidth="1"/>
    <col min="13295" max="13297" width="12.28515625" style="45" bestFit="1" customWidth="1"/>
    <col min="13298" max="13525" width="11.42578125" style="45"/>
    <col min="13526" max="13528" width="0" style="45" hidden="1" customWidth="1"/>
    <col min="13529" max="13529" width="39.42578125" style="45" customWidth="1"/>
    <col min="13530" max="13530" width="15.42578125" style="45" customWidth="1"/>
    <col min="13531" max="13545" width="0" style="45" hidden="1" customWidth="1"/>
    <col min="13546" max="13546" width="14.140625" style="45" customWidth="1"/>
    <col min="13547" max="13547" width="0" style="45" hidden="1" customWidth="1"/>
    <col min="13548" max="13548" width="19" style="45" bestFit="1" customWidth="1"/>
    <col min="13549" max="13550" width="14.28515625" style="45" bestFit="1" customWidth="1"/>
    <col min="13551" max="13553" width="12.28515625" style="45" bestFit="1" customWidth="1"/>
    <col min="13554" max="13781" width="11.42578125" style="45"/>
    <col min="13782" max="13784" width="0" style="45" hidden="1" customWidth="1"/>
    <col min="13785" max="13785" width="39.42578125" style="45" customWidth="1"/>
    <col min="13786" max="13786" width="15.42578125" style="45" customWidth="1"/>
    <col min="13787" max="13801" width="0" style="45" hidden="1" customWidth="1"/>
    <col min="13802" max="13802" width="14.140625" style="45" customWidth="1"/>
    <col min="13803" max="13803" width="0" style="45" hidden="1" customWidth="1"/>
    <col min="13804" max="13804" width="19" style="45" bestFit="1" customWidth="1"/>
    <col min="13805" max="13806" width="14.28515625" style="45" bestFit="1" customWidth="1"/>
    <col min="13807" max="13809" width="12.28515625" style="45" bestFit="1" customWidth="1"/>
    <col min="13810" max="14037" width="11.42578125" style="45"/>
    <col min="14038" max="14040" width="0" style="45" hidden="1" customWidth="1"/>
    <col min="14041" max="14041" width="39.42578125" style="45" customWidth="1"/>
    <col min="14042" max="14042" width="15.42578125" style="45" customWidth="1"/>
    <col min="14043" max="14057" width="0" style="45" hidden="1" customWidth="1"/>
    <col min="14058" max="14058" width="14.140625" style="45" customWidth="1"/>
    <col min="14059" max="14059" width="0" style="45" hidden="1" customWidth="1"/>
    <col min="14060" max="14060" width="19" style="45" bestFit="1" customWidth="1"/>
    <col min="14061" max="14062" width="14.28515625" style="45" bestFit="1" customWidth="1"/>
    <col min="14063" max="14065" width="12.28515625" style="45" bestFit="1" customWidth="1"/>
    <col min="14066" max="14293" width="11.42578125" style="45"/>
    <col min="14294" max="14296" width="0" style="45" hidden="1" customWidth="1"/>
    <col min="14297" max="14297" width="39.42578125" style="45" customWidth="1"/>
    <col min="14298" max="14298" width="15.42578125" style="45" customWidth="1"/>
    <col min="14299" max="14313" width="0" style="45" hidden="1" customWidth="1"/>
    <col min="14314" max="14314" width="14.140625" style="45" customWidth="1"/>
    <col min="14315" max="14315" width="0" style="45" hidden="1" customWidth="1"/>
    <col min="14316" max="14316" width="19" style="45" bestFit="1" customWidth="1"/>
    <col min="14317" max="14318" width="14.28515625" style="45" bestFit="1" customWidth="1"/>
    <col min="14319" max="14321" width="12.28515625" style="45" bestFit="1" customWidth="1"/>
    <col min="14322" max="14549" width="11.42578125" style="45"/>
    <col min="14550" max="14552" width="0" style="45" hidden="1" customWidth="1"/>
    <col min="14553" max="14553" width="39.42578125" style="45" customWidth="1"/>
    <col min="14554" max="14554" width="15.42578125" style="45" customWidth="1"/>
    <col min="14555" max="14569" width="0" style="45" hidden="1" customWidth="1"/>
    <col min="14570" max="14570" width="14.140625" style="45" customWidth="1"/>
    <col min="14571" max="14571" width="0" style="45" hidden="1" customWidth="1"/>
    <col min="14572" max="14572" width="19" style="45" bestFit="1" customWidth="1"/>
    <col min="14573" max="14574" width="14.28515625" style="45" bestFit="1" customWidth="1"/>
    <col min="14575" max="14577" width="12.28515625" style="45" bestFit="1" customWidth="1"/>
    <col min="14578" max="14805" width="11.42578125" style="45"/>
    <col min="14806" max="14808" width="0" style="45" hidden="1" customWidth="1"/>
    <col min="14809" max="14809" width="39.42578125" style="45" customWidth="1"/>
    <col min="14810" max="14810" width="15.42578125" style="45" customWidth="1"/>
    <col min="14811" max="14825" width="0" style="45" hidden="1" customWidth="1"/>
    <col min="14826" max="14826" width="14.140625" style="45" customWidth="1"/>
    <col min="14827" max="14827" width="0" style="45" hidden="1" customWidth="1"/>
    <col min="14828" max="14828" width="19" style="45" bestFit="1" customWidth="1"/>
    <col min="14829" max="14830" width="14.28515625" style="45" bestFit="1" customWidth="1"/>
    <col min="14831" max="14833" width="12.28515625" style="45" bestFit="1" customWidth="1"/>
    <col min="14834" max="15061" width="11.42578125" style="45"/>
    <col min="15062" max="15064" width="0" style="45" hidden="1" customWidth="1"/>
    <col min="15065" max="15065" width="39.42578125" style="45" customWidth="1"/>
    <col min="15066" max="15066" width="15.42578125" style="45" customWidth="1"/>
    <col min="15067" max="15081" width="0" style="45" hidden="1" customWidth="1"/>
    <col min="15082" max="15082" width="14.140625" style="45" customWidth="1"/>
    <col min="15083" max="15083" width="0" style="45" hidden="1" customWidth="1"/>
    <col min="15084" max="15084" width="19" style="45" bestFit="1" customWidth="1"/>
    <col min="15085" max="15086" width="14.28515625" style="45" bestFit="1" customWidth="1"/>
    <col min="15087" max="15089" width="12.28515625" style="45" bestFit="1" customWidth="1"/>
    <col min="15090" max="15317" width="11.42578125" style="45"/>
    <col min="15318" max="15320" width="0" style="45" hidden="1" customWidth="1"/>
    <col min="15321" max="15321" width="39.42578125" style="45" customWidth="1"/>
    <col min="15322" max="15322" width="15.42578125" style="45" customWidth="1"/>
    <col min="15323" max="15337" width="0" style="45" hidden="1" customWidth="1"/>
    <col min="15338" max="15338" width="14.140625" style="45" customWidth="1"/>
    <col min="15339" max="15339" width="0" style="45" hidden="1" customWidth="1"/>
    <col min="15340" max="15340" width="19" style="45" bestFit="1" customWidth="1"/>
    <col min="15341" max="15342" width="14.28515625" style="45" bestFit="1" customWidth="1"/>
    <col min="15343" max="15345" width="12.28515625" style="45" bestFit="1" customWidth="1"/>
    <col min="15346" max="15573" width="11.42578125" style="45"/>
    <col min="15574" max="15576" width="0" style="45" hidden="1" customWidth="1"/>
    <col min="15577" max="15577" width="39.42578125" style="45" customWidth="1"/>
    <col min="15578" max="15578" width="15.42578125" style="45" customWidth="1"/>
    <col min="15579" max="15593" width="0" style="45" hidden="1" customWidth="1"/>
    <col min="15594" max="15594" width="14.140625" style="45" customWidth="1"/>
    <col min="15595" max="15595" width="0" style="45" hidden="1" customWidth="1"/>
    <col min="15596" max="15596" width="19" style="45" bestFit="1" customWidth="1"/>
    <col min="15597" max="15598" width="14.28515625" style="45" bestFit="1" customWidth="1"/>
    <col min="15599" max="15601" width="12.28515625" style="45" bestFit="1" customWidth="1"/>
    <col min="15602" max="15829" width="11.42578125" style="45"/>
    <col min="15830" max="15832" width="0" style="45" hidden="1" customWidth="1"/>
    <col min="15833" max="15833" width="39.42578125" style="45" customWidth="1"/>
    <col min="15834" max="15834" width="15.42578125" style="45" customWidth="1"/>
    <col min="15835" max="15849" width="0" style="45" hidden="1" customWidth="1"/>
    <col min="15850" max="15850" width="14.140625" style="45" customWidth="1"/>
    <col min="15851" max="15851" width="0" style="45" hidden="1" customWidth="1"/>
    <col min="15852" max="15852" width="19" style="45" bestFit="1" customWidth="1"/>
    <col min="15853" max="15854" width="14.28515625" style="45" bestFit="1" customWidth="1"/>
    <col min="15855" max="15857" width="12.28515625" style="45" bestFit="1" customWidth="1"/>
    <col min="15858" max="16085" width="11.42578125" style="45"/>
    <col min="16086" max="16088" width="0" style="45" hidden="1" customWidth="1"/>
    <col min="16089" max="16089" width="39.42578125" style="45" customWidth="1"/>
    <col min="16090" max="16090" width="15.42578125" style="45" customWidth="1"/>
    <col min="16091" max="16105" width="0" style="45" hidden="1" customWidth="1"/>
    <col min="16106" max="16106" width="14.140625" style="45" customWidth="1"/>
    <col min="16107" max="16107" width="0" style="45" hidden="1" customWidth="1"/>
    <col min="16108" max="16108" width="19" style="45" bestFit="1" customWidth="1"/>
    <col min="16109" max="16110" width="14.28515625" style="45" bestFit="1" customWidth="1"/>
    <col min="16111" max="16113" width="12.28515625" style="45" bestFit="1" customWidth="1"/>
    <col min="16114" max="16384" width="11.42578125" style="45"/>
  </cols>
  <sheetData>
    <row r="1" spans="1:9" s="2" customFormat="1" ht="22.5" customHeight="1" x14ac:dyDescent="0.25">
      <c r="A1" s="95" t="s">
        <v>0</v>
      </c>
      <c r="B1" s="95"/>
      <c r="C1" s="95"/>
      <c r="D1" s="95"/>
      <c r="E1" s="95"/>
      <c r="F1" s="95"/>
      <c r="G1" s="95"/>
      <c r="H1" s="1"/>
      <c r="I1" s="1"/>
    </row>
    <row r="2" spans="1:9" s="2" customFormat="1" x14ac:dyDescent="0.25">
      <c r="A2" s="95" t="s">
        <v>1</v>
      </c>
      <c r="B2" s="95"/>
      <c r="C2" s="95"/>
      <c r="D2" s="95"/>
      <c r="E2" s="95"/>
      <c r="F2" s="95"/>
      <c r="G2" s="95"/>
      <c r="H2" s="1"/>
      <c r="I2" s="1"/>
    </row>
    <row r="3" spans="1:9" s="2" customFormat="1" ht="12" x14ac:dyDescent="0.2">
      <c r="A3" s="96" t="s">
        <v>2</v>
      </c>
      <c r="B3" s="96"/>
      <c r="C3" s="96"/>
      <c r="D3" s="96"/>
      <c r="E3" s="96"/>
      <c r="F3" s="96"/>
      <c r="G3" s="96"/>
      <c r="H3" s="1"/>
      <c r="I3" s="1"/>
    </row>
    <row r="4" spans="1:9" s="2" customFormat="1" ht="12" x14ac:dyDescent="0.2">
      <c r="A4" s="96" t="s">
        <v>3</v>
      </c>
      <c r="B4" s="96"/>
      <c r="C4" s="96"/>
      <c r="D4" s="96"/>
      <c r="E4" s="96"/>
      <c r="F4" s="96"/>
      <c r="G4" s="96"/>
      <c r="H4" s="1"/>
      <c r="I4" s="1"/>
    </row>
    <row r="5" spans="1:9" s="1" customFormat="1" ht="59.25" customHeight="1" x14ac:dyDescent="0.2">
      <c r="A5" s="3" t="s">
        <v>4</v>
      </c>
      <c r="B5" s="3" t="s">
        <v>5</v>
      </c>
      <c r="C5" s="3" t="s">
        <v>6</v>
      </c>
      <c r="D5" s="71" t="s">
        <v>7</v>
      </c>
      <c r="E5" s="71" t="s">
        <v>8</v>
      </c>
      <c r="F5" s="4" t="s">
        <v>290</v>
      </c>
      <c r="G5" s="65" t="s">
        <v>9</v>
      </c>
    </row>
    <row r="6" spans="1:9" s="1" customFormat="1" ht="12" customHeight="1" x14ac:dyDescent="0.2">
      <c r="A6" s="97" t="s">
        <v>10</v>
      </c>
      <c r="B6" s="97"/>
      <c r="C6" s="97"/>
      <c r="D6" s="97"/>
      <c r="E6" s="97"/>
      <c r="F6" s="5"/>
      <c r="G6" s="77"/>
    </row>
    <row r="7" spans="1:9" s="1" customFormat="1" ht="12" x14ac:dyDescent="0.2">
      <c r="D7" s="66" t="s">
        <v>11</v>
      </c>
      <c r="E7" s="67"/>
      <c r="F7" s="67"/>
      <c r="G7" s="75"/>
    </row>
    <row r="8" spans="1:9" s="1" customFormat="1" ht="12" x14ac:dyDescent="0.2">
      <c r="A8" s="7" t="s">
        <v>12</v>
      </c>
      <c r="B8" s="8"/>
      <c r="C8" s="9">
        <v>13990000</v>
      </c>
      <c r="D8" s="7" t="s">
        <v>13</v>
      </c>
      <c r="E8" s="10">
        <v>1042646000</v>
      </c>
      <c r="F8" s="11">
        <f>-321951.57+828090051+3236023</f>
        <v>831004122.42999995</v>
      </c>
      <c r="G8" s="69">
        <f>+F8/E8</f>
        <v>0.79701463625238089</v>
      </c>
    </row>
    <row r="9" spans="1:9" s="1" customFormat="1" ht="12" x14ac:dyDescent="0.2">
      <c r="C9" s="12"/>
      <c r="D9" s="90"/>
      <c r="E9" s="90"/>
      <c r="F9" s="6"/>
      <c r="G9" s="75"/>
    </row>
    <row r="10" spans="1:9" s="1" customFormat="1" ht="12" x14ac:dyDescent="0.2">
      <c r="C10" s="12"/>
      <c r="D10" s="66" t="s">
        <v>14</v>
      </c>
      <c r="E10" s="67"/>
      <c r="F10" s="67"/>
      <c r="G10" s="76"/>
    </row>
    <row r="11" spans="1:9" s="1" customFormat="1" ht="12" x14ac:dyDescent="0.2">
      <c r="A11" s="7" t="s">
        <v>15</v>
      </c>
      <c r="B11" s="8"/>
      <c r="C11" s="9">
        <v>13120909</v>
      </c>
      <c r="D11" s="7" t="s">
        <v>16</v>
      </c>
      <c r="E11" s="10">
        <v>118800000.00000001</v>
      </c>
      <c r="F11" s="11">
        <v>92125120</v>
      </c>
      <c r="G11" s="69">
        <f>+F11/E11</f>
        <v>0.77546397306397297</v>
      </c>
    </row>
    <row r="12" spans="1:9" s="1" customFormat="1" ht="12" x14ac:dyDescent="0.2">
      <c r="A12" s="7" t="s">
        <v>17</v>
      </c>
      <c r="B12" s="8"/>
      <c r="C12" s="9">
        <v>13120909</v>
      </c>
      <c r="D12" s="13" t="s">
        <v>18</v>
      </c>
      <c r="E12" s="10">
        <v>13200000.000000002</v>
      </c>
      <c r="F12" s="11">
        <v>11810900</v>
      </c>
      <c r="G12" s="69">
        <f>+F12/E12</f>
        <v>0.89476515151515135</v>
      </c>
    </row>
    <row r="13" spans="1:9" s="1" customFormat="1" ht="12" x14ac:dyDescent="0.2">
      <c r="A13" s="7" t="s">
        <v>17</v>
      </c>
      <c r="B13" s="8"/>
      <c r="C13" s="9">
        <v>13120909</v>
      </c>
      <c r="D13" s="7" t="s">
        <v>19</v>
      </c>
      <c r="E13" s="10">
        <v>3300000</v>
      </c>
      <c r="F13" s="11">
        <v>0</v>
      </c>
      <c r="G13" s="69">
        <f>+F13/E13</f>
        <v>0</v>
      </c>
    </row>
    <row r="14" spans="1:9" s="1" customFormat="1" ht="12" x14ac:dyDescent="0.2">
      <c r="A14" s="7" t="s">
        <v>17</v>
      </c>
      <c r="B14" s="8"/>
      <c r="C14" s="9">
        <v>13120909</v>
      </c>
      <c r="D14" s="7" t="s">
        <v>20</v>
      </c>
      <c r="E14" s="10">
        <v>3300000</v>
      </c>
      <c r="F14" s="11">
        <v>0</v>
      </c>
      <c r="G14" s="69">
        <f>+F14/E14</f>
        <v>0</v>
      </c>
    </row>
    <row r="15" spans="1:9" s="1" customFormat="1" ht="12" x14ac:dyDescent="0.2">
      <c r="C15" s="12"/>
      <c r="D15" s="90"/>
      <c r="E15" s="90"/>
      <c r="F15" s="6"/>
      <c r="G15" s="75"/>
    </row>
    <row r="16" spans="1:9" s="1" customFormat="1" ht="12" x14ac:dyDescent="0.2">
      <c r="C16" s="12"/>
      <c r="D16" s="66" t="s">
        <v>21</v>
      </c>
      <c r="E16" s="67"/>
      <c r="F16" s="67"/>
      <c r="G16" s="75"/>
    </row>
    <row r="17" spans="1:7" s="1" customFormat="1" ht="12" x14ac:dyDescent="0.2">
      <c r="A17" s="8" t="s">
        <v>22</v>
      </c>
      <c r="B17" s="8"/>
      <c r="C17" s="9">
        <v>13120909</v>
      </c>
      <c r="D17" s="7" t="s">
        <v>23</v>
      </c>
      <c r="E17" s="10">
        <v>32000000</v>
      </c>
      <c r="F17" s="11">
        <f>20217690+360000</f>
        <v>20577690</v>
      </c>
      <c r="G17" s="69">
        <f t="shared" ref="G17:G23" si="0">+F17/E17</f>
        <v>0.64305281250000002</v>
      </c>
    </row>
    <row r="18" spans="1:7" s="1" customFormat="1" ht="12" x14ac:dyDescent="0.2">
      <c r="A18" s="8" t="s">
        <v>24</v>
      </c>
      <c r="B18" s="8"/>
      <c r="C18" s="9">
        <v>13120909</v>
      </c>
      <c r="D18" s="13" t="s">
        <v>25</v>
      </c>
      <c r="E18" s="10">
        <v>1369500</v>
      </c>
      <c r="F18" s="11">
        <v>957000</v>
      </c>
      <c r="G18" s="69">
        <f t="shared" si="0"/>
        <v>0.6987951807228916</v>
      </c>
    </row>
    <row r="19" spans="1:7" s="1" customFormat="1" ht="12" x14ac:dyDescent="0.2">
      <c r="A19" s="8" t="s">
        <v>26</v>
      </c>
      <c r="B19" s="8"/>
      <c r="C19" s="9">
        <v>13120909</v>
      </c>
      <c r="D19" s="13" t="s">
        <v>27</v>
      </c>
      <c r="E19" s="10">
        <v>5940000.0000000009</v>
      </c>
      <c r="F19" s="11">
        <v>4260785</v>
      </c>
      <c r="G19" s="69">
        <f t="shared" si="0"/>
        <v>0.71730387205387192</v>
      </c>
    </row>
    <row r="20" spans="1:7" s="1" customFormat="1" ht="12" x14ac:dyDescent="0.2">
      <c r="A20" s="8" t="s">
        <v>28</v>
      </c>
      <c r="B20" s="8"/>
      <c r="C20" s="9">
        <v>13120909</v>
      </c>
      <c r="D20" s="13" t="s">
        <v>29</v>
      </c>
      <c r="E20" s="10">
        <v>3960000.0000000005</v>
      </c>
      <c r="F20" s="11">
        <v>2694346</v>
      </c>
      <c r="G20" s="69">
        <f t="shared" si="0"/>
        <v>0.68039040404040396</v>
      </c>
    </row>
    <row r="21" spans="1:7" s="1" customFormat="1" ht="12" x14ac:dyDescent="0.2">
      <c r="A21" s="8" t="s">
        <v>30</v>
      </c>
      <c r="B21" s="8"/>
      <c r="C21" s="9">
        <v>13990000</v>
      </c>
      <c r="D21" s="14" t="s">
        <v>31</v>
      </c>
      <c r="E21" s="10">
        <v>6765000</v>
      </c>
      <c r="F21" s="11">
        <v>5441376.2699999996</v>
      </c>
      <c r="G21" s="69">
        <f t="shared" si="0"/>
        <v>0.80434239024390242</v>
      </c>
    </row>
    <row r="22" spans="1:7" s="1" customFormat="1" ht="12" x14ac:dyDescent="0.2">
      <c r="A22" s="8" t="s">
        <v>32</v>
      </c>
      <c r="B22" s="8"/>
      <c r="C22" s="9">
        <v>13120909</v>
      </c>
      <c r="D22" s="14" t="s">
        <v>33</v>
      </c>
      <c r="E22" s="10">
        <v>144000</v>
      </c>
      <c r="F22" s="11">
        <f>4680+166621.24</f>
        <v>171301.24</v>
      </c>
      <c r="G22" s="69">
        <f t="shared" si="0"/>
        <v>1.1895919444444443</v>
      </c>
    </row>
    <row r="23" spans="1:7" s="1" customFormat="1" ht="12" x14ac:dyDescent="0.2">
      <c r="A23" s="8" t="s">
        <v>34</v>
      </c>
      <c r="B23" s="8"/>
      <c r="C23" s="9">
        <v>13120909</v>
      </c>
      <c r="D23" s="14" t="s">
        <v>35</v>
      </c>
      <c r="E23" s="10">
        <v>3850000</v>
      </c>
      <c r="F23" s="11">
        <f>3388000+3003000</f>
        <v>6391000</v>
      </c>
      <c r="G23" s="69">
        <f t="shared" si="0"/>
        <v>1.66</v>
      </c>
    </row>
    <row r="24" spans="1:7" s="1" customFormat="1" ht="12" x14ac:dyDescent="0.2">
      <c r="D24" s="93"/>
      <c r="E24" s="93"/>
      <c r="F24" s="70"/>
      <c r="G24" s="78"/>
    </row>
    <row r="25" spans="1:7" s="1" customFormat="1" ht="12" x14ac:dyDescent="0.2">
      <c r="D25" s="66" t="s">
        <v>36</v>
      </c>
      <c r="E25" s="67"/>
      <c r="F25" s="67"/>
      <c r="G25" s="75"/>
    </row>
    <row r="26" spans="1:7" s="1" customFormat="1" ht="12" x14ac:dyDescent="0.2">
      <c r="A26" s="7" t="s">
        <v>37</v>
      </c>
      <c r="B26" s="8"/>
      <c r="C26" s="9">
        <v>13120909</v>
      </c>
      <c r="D26" s="14" t="s">
        <v>38</v>
      </c>
      <c r="E26" s="15">
        <v>72679000</v>
      </c>
      <c r="F26" s="11">
        <f>-150000+42858229.56</f>
        <v>42708229.560000002</v>
      </c>
      <c r="G26" s="69">
        <f>+F26/E26</f>
        <v>0.58762819466420835</v>
      </c>
    </row>
    <row r="27" spans="1:7" s="1" customFormat="1" ht="12" x14ac:dyDescent="0.2">
      <c r="A27" s="7" t="s">
        <v>39</v>
      </c>
      <c r="B27" s="8"/>
      <c r="C27" s="9">
        <v>13120909</v>
      </c>
      <c r="D27" s="14" t="s">
        <v>40</v>
      </c>
      <c r="E27" s="15">
        <v>22650000</v>
      </c>
      <c r="F27" s="11">
        <f>11207535.45+1307136.85</f>
        <v>12514672.299999999</v>
      </c>
      <c r="G27" s="69">
        <f>+F27/E27</f>
        <v>0.55252416335540833</v>
      </c>
    </row>
    <row r="28" spans="1:7" s="1" customFormat="1" ht="12" x14ac:dyDescent="0.2">
      <c r="C28" s="12"/>
      <c r="D28" s="93"/>
      <c r="E28" s="93"/>
      <c r="F28" s="6"/>
      <c r="G28" s="75"/>
    </row>
    <row r="29" spans="1:7" s="1" customFormat="1" ht="12" x14ac:dyDescent="0.2">
      <c r="C29" s="12"/>
      <c r="D29" s="66" t="s">
        <v>41</v>
      </c>
      <c r="E29" s="67"/>
      <c r="F29" s="67"/>
      <c r="G29" s="75"/>
    </row>
    <row r="30" spans="1:7" s="1" customFormat="1" ht="12" x14ac:dyDescent="0.2">
      <c r="A30" s="8" t="s">
        <v>42</v>
      </c>
      <c r="B30" s="8"/>
      <c r="C30" s="16">
        <v>13120401</v>
      </c>
      <c r="D30" s="14" t="s">
        <v>43</v>
      </c>
      <c r="E30" s="10">
        <v>3850000</v>
      </c>
      <c r="F30" s="11">
        <v>125000</v>
      </c>
      <c r="G30" s="69">
        <f t="shared" ref="G30:G36" si="1">+F30/E30</f>
        <v>3.2467532467532464E-2</v>
      </c>
    </row>
    <row r="31" spans="1:7" s="1" customFormat="1" ht="12" x14ac:dyDescent="0.2">
      <c r="A31" s="8" t="s">
        <v>44</v>
      </c>
      <c r="B31" s="8"/>
      <c r="C31" s="16"/>
      <c r="D31" s="17" t="s">
        <v>45</v>
      </c>
      <c r="E31" s="10">
        <v>5000000</v>
      </c>
      <c r="F31" s="11">
        <v>0</v>
      </c>
      <c r="G31" s="69">
        <f t="shared" si="1"/>
        <v>0</v>
      </c>
    </row>
    <row r="32" spans="1:7" s="1" customFormat="1" ht="12" x14ac:dyDescent="0.2">
      <c r="A32" s="8" t="s">
        <v>46</v>
      </c>
      <c r="B32" s="8"/>
      <c r="C32" s="16">
        <v>13230301</v>
      </c>
      <c r="D32" s="7" t="s">
        <v>47</v>
      </c>
      <c r="E32" s="10">
        <v>500000</v>
      </c>
      <c r="F32" s="11">
        <v>608405.30000000005</v>
      </c>
      <c r="G32" s="69">
        <f t="shared" si="1"/>
        <v>1.2168106000000001</v>
      </c>
    </row>
    <row r="33" spans="1:9" s="1" customFormat="1" ht="12" x14ac:dyDescent="0.2">
      <c r="A33" s="8" t="s">
        <v>48</v>
      </c>
      <c r="B33" s="8"/>
      <c r="C33" s="9">
        <v>13990000</v>
      </c>
      <c r="D33" s="7" t="s">
        <v>49</v>
      </c>
      <c r="E33" s="10">
        <v>13650000</v>
      </c>
      <c r="F33" s="11">
        <v>2423506.9900000002</v>
      </c>
      <c r="G33" s="69">
        <f t="shared" si="1"/>
        <v>0.17754629963369964</v>
      </c>
    </row>
    <row r="34" spans="1:9" s="2" customFormat="1" ht="12" x14ac:dyDescent="0.2">
      <c r="A34" s="8" t="s">
        <v>50</v>
      </c>
      <c r="B34" s="8"/>
      <c r="C34" s="16"/>
      <c r="D34" s="14" t="s">
        <v>51</v>
      </c>
      <c r="E34" s="10">
        <v>13500000</v>
      </c>
      <c r="F34" s="11">
        <v>0</v>
      </c>
      <c r="G34" s="69">
        <f t="shared" si="1"/>
        <v>0</v>
      </c>
      <c r="H34" s="1"/>
      <c r="I34" s="1"/>
    </row>
    <row r="35" spans="1:9" s="2" customFormat="1" ht="12" x14ac:dyDescent="0.2">
      <c r="A35" s="8" t="s">
        <v>52</v>
      </c>
      <c r="B35" s="8"/>
      <c r="C35" s="9"/>
      <c r="D35" s="14" t="s">
        <v>53</v>
      </c>
      <c r="E35" s="10">
        <v>71838000</v>
      </c>
      <c r="F35" s="11">
        <v>0</v>
      </c>
      <c r="G35" s="69">
        <f t="shared" si="1"/>
        <v>0</v>
      </c>
      <c r="H35" s="1"/>
      <c r="I35" s="1"/>
    </row>
    <row r="36" spans="1:9" s="2" customFormat="1" ht="12" x14ac:dyDescent="0.2">
      <c r="A36" s="1"/>
      <c r="B36" s="1"/>
      <c r="C36" s="18"/>
      <c r="D36" s="19" t="s">
        <v>54</v>
      </c>
      <c r="E36" s="74">
        <f>SUM(E8:E35)</f>
        <v>1438941500</v>
      </c>
      <c r="F36" s="74">
        <f t="shared" ref="F36" si="2">SUM(F8:F35)</f>
        <v>1033813455.0899999</v>
      </c>
      <c r="G36" s="87">
        <f t="shared" si="1"/>
        <v>0.71845412415306664</v>
      </c>
      <c r="H36" s="1"/>
      <c r="I36" s="1"/>
    </row>
    <row r="37" spans="1:9" s="2" customFormat="1" ht="18.75" customHeight="1" x14ac:dyDescent="0.2">
      <c r="A37" s="1"/>
      <c r="B37" s="1"/>
      <c r="C37" s="1"/>
      <c r="D37" s="20"/>
      <c r="E37" s="21"/>
      <c r="F37" s="6"/>
      <c r="G37" s="75"/>
      <c r="H37" s="1"/>
      <c r="I37" s="1"/>
    </row>
    <row r="38" spans="1:9" s="1" customFormat="1" ht="53.25" customHeight="1" x14ac:dyDescent="0.2">
      <c r="A38" s="3" t="s">
        <v>4</v>
      </c>
      <c r="B38" s="3" t="s">
        <v>5</v>
      </c>
      <c r="C38" s="3" t="s">
        <v>6</v>
      </c>
      <c r="D38" s="71" t="s">
        <v>7</v>
      </c>
      <c r="E38" s="71" t="s">
        <v>8</v>
      </c>
      <c r="F38" s="4" t="s">
        <v>290</v>
      </c>
      <c r="G38" s="65" t="s">
        <v>9</v>
      </c>
    </row>
    <row r="39" spans="1:9" s="1" customFormat="1" ht="12" x14ac:dyDescent="0.2">
      <c r="A39" s="22" t="s">
        <v>55</v>
      </c>
      <c r="B39" s="22"/>
      <c r="C39" s="22"/>
      <c r="D39" s="22"/>
      <c r="E39" s="22"/>
      <c r="F39" s="5"/>
      <c r="G39" s="77"/>
    </row>
    <row r="40" spans="1:9" s="1" customFormat="1" ht="13.5" customHeight="1" x14ac:dyDescent="0.2">
      <c r="D40" s="94" t="s">
        <v>56</v>
      </c>
      <c r="E40" s="94" t="s">
        <v>57</v>
      </c>
      <c r="F40" s="6"/>
      <c r="G40" s="75"/>
    </row>
    <row r="41" spans="1:9" s="1" customFormat="1" ht="24" customHeight="1" x14ac:dyDescent="0.2">
      <c r="A41" s="8" t="s">
        <v>58</v>
      </c>
      <c r="B41" s="23" t="s">
        <v>59</v>
      </c>
      <c r="C41" s="23" t="s">
        <v>60</v>
      </c>
      <c r="D41" s="24" t="s">
        <v>16</v>
      </c>
      <c r="E41" s="25">
        <f>+SUM(6000*300)</f>
        <v>1800000</v>
      </c>
      <c r="F41" s="11">
        <f>1395267.89+126414.92</f>
        <v>1521682.8099999998</v>
      </c>
      <c r="G41" s="69">
        <f>+F41/E41</f>
        <v>0.84537933888888883</v>
      </c>
    </row>
    <row r="42" spans="1:9" s="1" customFormat="1" ht="13.5" customHeight="1" x14ac:dyDescent="0.2">
      <c r="D42" s="26" t="s">
        <v>61</v>
      </c>
      <c r="E42" s="27">
        <f>SUM(E41)</f>
        <v>1800000</v>
      </c>
      <c r="F42" s="27">
        <f t="shared" ref="F42" si="3">SUM(F41)</f>
        <v>1521682.8099999998</v>
      </c>
      <c r="G42" s="84">
        <f>+F42/E42</f>
        <v>0.84537933888888883</v>
      </c>
    </row>
    <row r="43" spans="1:9" s="1" customFormat="1" ht="13.5" customHeight="1" x14ac:dyDescent="0.2">
      <c r="D43" s="28"/>
      <c r="E43" s="28"/>
      <c r="F43" s="6"/>
      <c r="G43" s="75"/>
    </row>
    <row r="44" spans="1:9" s="1" customFormat="1" ht="13.5" customHeight="1" x14ac:dyDescent="0.2">
      <c r="D44" s="89" t="s">
        <v>62</v>
      </c>
      <c r="E44" s="89" t="s">
        <v>57</v>
      </c>
      <c r="F44" s="6"/>
      <c r="G44" s="75"/>
    </row>
    <row r="45" spans="1:9" s="1" customFormat="1" ht="13.5" customHeight="1" x14ac:dyDescent="0.2">
      <c r="A45" s="8" t="s">
        <v>63</v>
      </c>
      <c r="B45" s="29" t="s">
        <v>59</v>
      </c>
      <c r="C45" s="23" t="s">
        <v>64</v>
      </c>
      <c r="D45" s="30" t="s">
        <v>31</v>
      </c>
      <c r="E45" s="25">
        <f>15000*450</f>
        <v>6750000</v>
      </c>
      <c r="F45" s="11">
        <v>3210960.52</v>
      </c>
      <c r="G45" s="69">
        <f>+F45/E45</f>
        <v>0.4756978548148148</v>
      </c>
    </row>
    <row r="46" spans="1:9" s="1" customFormat="1" ht="13.5" customHeight="1" x14ac:dyDescent="0.2">
      <c r="A46" s="8" t="s">
        <v>65</v>
      </c>
      <c r="B46" s="23" t="s">
        <v>59</v>
      </c>
      <c r="C46" s="23" t="s">
        <v>66</v>
      </c>
      <c r="D46" s="30" t="s">
        <v>23</v>
      </c>
      <c r="E46" s="25">
        <v>32000000</v>
      </c>
      <c r="F46" s="11">
        <v>6633594.7400000002</v>
      </c>
      <c r="G46" s="69">
        <f>+F46/E46</f>
        <v>0.20729983562500001</v>
      </c>
    </row>
    <row r="47" spans="1:9" s="1" customFormat="1" ht="13.5" customHeight="1" x14ac:dyDescent="0.2">
      <c r="D47" s="26" t="s">
        <v>67</v>
      </c>
      <c r="E47" s="27">
        <f>SUM(E45:E46)</f>
        <v>38750000</v>
      </c>
      <c r="F47" s="27">
        <f t="shared" ref="F47" si="4">SUM(F45:F46)</f>
        <v>9844555.2599999998</v>
      </c>
      <c r="G47" s="84">
        <f>+F47/E47</f>
        <v>0.25405303896774195</v>
      </c>
    </row>
    <row r="48" spans="1:9" s="1" customFormat="1" ht="13.5" customHeight="1" x14ac:dyDescent="0.2">
      <c r="A48" s="18"/>
      <c r="B48" s="18"/>
      <c r="C48" s="18"/>
      <c r="D48" s="90"/>
      <c r="E48" s="90"/>
      <c r="F48" s="6"/>
      <c r="G48" s="75"/>
    </row>
    <row r="49" spans="1:9" s="1" customFormat="1" ht="13.5" customHeight="1" x14ac:dyDescent="0.2">
      <c r="D49" s="89" t="s">
        <v>36</v>
      </c>
      <c r="E49" s="89" t="s">
        <v>57</v>
      </c>
      <c r="F49" s="6"/>
      <c r="G49" s="75"/>
    </row>
    <row r="50" spans="1:9" s="1" customFormat="1" ht="13.5" customHeight="1" x14ac:dyDescent="0.2">
      <c r="A50" s="8" t="s">
        <v>68</v>
      </c>
      <c r="B50" s="23" t="s">
        <v>59</v>
      </c>
      <c r="C50" s="23" t="s">
        <v>69</v>
      </c>
      <c r="D50" s="30" t="s">
        <v>70</v>
      </c>
      <c r="E50" s="25">
        <f>68000000+685000</f>
        <v>68685000</v>
      </c>
      <c r="F50" s="11">
        <v>29511130.359999999</v>
      </c>
      <c r="G50" s="69">
        <f>+F50/E50</f>
        <v>0.42965902831768216</v>
      </c>
    </row>
    <row r="51" spans="1:9" s="1" customFormat="1" ht="13.5" customHeight="1" x14ac:dyDescent="0.2">
      <c r="A51" s="18"/>
      <c r="B51" s="23" t="s">
        <v>59</v>
      </c>
      <c r="C51" s="23" t="s">
        <v>69</v>
      </c>
      <c r="D51" s="30" t="s">
        <v>71</v>
      </c>
      <c r="E51" s="25">
        <v>81900000</v>
      </c>
      <c r="F51" s="11">
        <v>0</v>
      </c>
      <c r="G51" s="69"/>
    </row>
    <row r="52" spans="1:9" s="1" customFormat="1" ht="13.5" customHeight="1" x14ac:dyDescent="0.2">
      <c r="D52" s="26" t="s">
        <v>72</v>
      </c>
      <c r="E52" s="27">
        <f>SUM(E50:E51)</f>
        <v>150585000</v>
      </c>
      <c r="F52" s="27">
        <f t="shared" ref="F52" si="5">SUM(F50:F51)</f>
        <v>29511130.359999999</v>
      </c>
      <c r="G52" s="84">
        <f>+F52/E52</f>
        <v>0.19597656048079157</v>
      </c>
    </row>
    <row r="53" spans="1:9" s="1" customFormat="1" ht="13.5" customHeight="1" x14ac:dyDescent="0.2">
      <c r="D53" s="31"/>
      <c r="E53" s="32"/>
      <c r="F53" s="6"/>
      <c r="G53" s="75"/>
    </row>
    <row r="54" spans="1:9" s="1" customFormat="1" ht="13.5" customHeight="1" x14ac:dyDescent="0.2">
      <c r="D54" s="89" t="s">
        <v>73</v>
      </c>
      <c r="E54" s="89" t="s">
        <v>57</v>
      </c>
      <c r="F54" s="6"/>
      <c r="G54" s="75"/>
    </row>
    <row r="55" spans="1:9" s="2" customFormat="1" ht="13.5" customHeight="1" x14ac:dyDescent="0.2">
      <c r="A55" s="8" t="s">
        <v>74</v>
      </c>
      <c r="B55" s="23" t="s">
        <v>59</v>
      </c>
      <c r="C55" s="23" t="s">
        <v>66</v>
      </c>
      <c r="D55" s="30" t="s">
        <v>75</v>
      </c>
      <c r="E55" s="25">
        <v>8500000</v>
      </c>
      <c r="F55" s="11">
        <v>227865.91</v>
      </c>
      <c r="G55" s="69">
        <f>+F55/E55</f>
        <v>2.6807754117647058E-2</v>
      </c>
      <c r="H55" s="1"/>
      <c r="I55" s="1"/>
    </row>
    <row r="56" spans="1:9" s="2" customFormat="1" ht="13.5" customHeight="1" x14ac:dyDescent="0.2">
      <c r="A56" s="8" t="s">
        <v>76</v>
      </c>
      <c r="B56" s="23" t="s">
        <v>59</v>
      </c>
      <c r="C56" s="23" t="s">
        <v>66</v>
      </c>
      <c r="D56" s="33" t="s">
        <v>77</v>
      </c>
      <c r="E56" s="34">
        <v>1500000</v>
      </c>
      <c r="F56" s="11">
        <v>386972.28</v>
      </c>
      <c r="G56" s="69">
        <f>+F56/E56</f>
        <v>0.25798152000000002</v>
      </c>
      <c r="H56" s="1"/>
      <c r="I56" s="1"/>
    </row>
    <row r="57" spans="1:9" s="1" customFormat="1" ht="13.5" customHeight="1" x14ac:dyDescent="0.2">
      <c r="D57" s="26" t="s">
        <v>78</v>
      </c>
      <c r="E57" s="27">
        <f>+E55+E56</f>
        <v>10000000</v>
      </c>
      <c r="F57" s="27">
        <f t="shared" ref="F57" si="6">+F55+F56</f>
        <v>614838.19000000006</v>
      </c>
      <c r="G57" s="79">
        <f>+F57/E57</f>
        <v>6.1483819000000009E-2</v>
      </c>
    </row>
    <row r="58" spans="1:9" s="1" customFormat="1" ht="12" x14ac:dyDescent="0.2">
      <c r="D58" s="88"/>
      <c r="E58" s="88"/>
      <c r="F58" s="6"/>
      <c r="G58" s="75"/>
    </row>
    <row r="59" spans="1:9" s="1" customFormat="1" ht="13.5" customHeight="1" x14ac:dyDescent="0.2">
      <c r="D59" s="89" t="s">
        <v>79</v>
      </c>
      <c r="E59" s="89" t="s">
        <v>57</v>
      </c>
      <c r="F59" s="6"/>
      <c r="G59" s="75"/>
    </row>
    <row r="60" spans="1:9" s="1" customFormat="1" ht="13.5" customHeight="1" x14ac:dyDescent="0.2">
      <c r="A60" s="8" t="s">
        <v>80</v>
      </c>
      <c r="B60" s="23" t="s">
        <v>81</v>
      </c>
      <c r="C60" s="23" t="s">
        <v>82</v>
      </c>
      <c r="D60" s="30" t="s">
        <v>83</v>
      </c>
      <c r="E60" s="25">
        <v>339000000</v>
      </c>
      <c r="F60" s="11">
        <f>308846394.58+6406875.43+763375.4</f>
        <v>316016645.40999997</v>
      </c>
      <c r="G60" s="69">
        <f t="shared" ref="G60:G68" si="7">+F60/E60</f>
        <v>0.93220249383480813</v>
      </c>
    </row>
    <row r="61" spans="1:9" s="1" customFormat="1" ht="13.5" customHeight="1" x14ac:dyDescent="0.2">
      <c r="A61" s="8" t="s">
        <v>84</v>
      </c>
      <c r="B61" s="29" t="s">
        <v>85</v>
      </c>
      <c r="C61" s="23" t="s">
        <v>86</v>
      </c>
      <c r="D61" s="30" t="s">
        <v>87</v>
      </c>
      <c r="E61" s="25">
        <v>100349000</v>
      </c>
      <c r="F61" s="11">
        <v>86760088.019999996</v>
      </c>
      <c r="G61" s="69">
        <f t="shared" si="7"/>
        <v>0.8645834838413935</v>
      </c>
    </row>
    <row r="62" spans="1:9" s="1" customFormat="1" ht="13.5" customHeight="1" x14ac:dyDescent="0.2">
      <c r="A62" s="8" t="s">
        <v>88</v>
      </c>
      <c r="B62" s="29" t="s">
        <v>89</v>
      </c>
      <c r="C62" s="29" t="s">
        <v>90</v>
      </c>
      <c r="D62" s="30" t="s">
        <v>91</v>
      </c>
      <c r="E62" s="25">
        <v>5000000</v>
      </c>
      <c r="F62" s="11">
        <f>1359840.29+2363337.65+313655.01</f>
        <v>4036832.95</v>
      </c>
      <c r="G62" s="69">
        <f t="shared" si="7"/>
        <v>0.80736659</v>
      </c>
    </row>
    <row r="63" spans="1:9" s="1" customFormat="1" ht="13.5" customHeight="1" x14ac:dyDescent="0.2">
      <c r="A63" s="8" t="s">
        <v>92</v>
      </c>
      <c r="B63" s="23" t="s">
        <v>81</v>
      </c>
      <c r="C63" s="23" t="s">
        <v>93</v>
      </c>
      <c r="D63" s="30" t="s">
        <v>94</v>
      </c>
      <c r="E63" s="25">
        <f>+E60/12</f>
        <v>28250000</v>
      </c>
      <c r="F63" s="11">
        <f>26471911.84+363254.21</f>
        <v>26835166.050000001</v>
      </c>
      <c r="G63" s="69">
        <f t="shared" si="7"/>
        <v>0.94991738230088496</v>
      </c>
    </row>
    <row r="64" spans="1:9" s="1" customFormat="1" ht="13.5" customHeight="1" x14ac:dyDescent="0.2">
      <c r="A64" s="8" t="s">
        <v>95</v>
      </c>
      <c r="B64" s="23" t="s">
        <v>59</v>
      </c>
      <c r="C64" s="23" t="s">
        <v>69</v>
      </c>
      <c r="D64" s="30" t="s">
        <v>96</v>
      </c>
      <c r="E64" s="25">
        <f>500000+250000+2250000</f>
        <v>3000000</v>
      </c>
      <c r="F64" s="11">
        <v>1440418.18</v>
      </c>
      <c r="G64" s="69">
        <f t="shared" si="7"/>
        <v>0.48013939333333333</v>
      </c>
    </row>
    <row r="65" spans="1:7" s="1" customFormat="1" ht="13.5" customHeight="1" x14ac:dyDescent="0.2">
      <c r="A65" s="8" t="s">
        <v>97</v>
      </c>
      <c r="B65" s="23" t="s">
        <v>59</v>
      </c>
      <c r="C65" s="23" t="s">
        <v>98</v>
      </c>
      <c r="D65" s="30" t="s">
        <v>99</v>
      </c>
      <c r="E65" s="25">
        <f>1410000+1410000</f>
        <v>2820000</v>
      </c>
      <c r="F65" s="11">
        <v>854963.99</v>
      </c>
      <c r="G65" s="69">
        <f t="shared" si="7"/>
        <v>0.30317871985815603</v>
      </c>
    </row>
    <row r="66" spans="1:7" s="1" customFormat="1" ht="13.5" customHeight="1" x14ac:dyDescent="0.2">
      <c r="A66" s="8" t="s">
        <v>100</v>
      </c>
      <c r="B66" s="23" t="s">
        <v>59</v>
      </c>
      <c r="C66" s="23" t="s">
        <v>101</v>
      </c>
      <c r="D66" s="30" t="s">
        <v>102</v>
      </c>
      <c r="E66" s="25">
        <v>2000000</v>
      </c>
      <c r="F66" s="11">
        <v>1087861</v>
      </c>
      <c r="G66" s="69">
        <f t="shared" si="7"/>
        <v>0.54393049999999998</v>
      </c>
    </row>
    <row r="67" spans="1:7" s="1" customFormat="1" ht="13.5" customHeight="1" x14ac:dyDescent="0.2">
      <c r="A67" s="8" t="s">
        <v>103</v>
      </c>
      <c r="B67" s="23" t="s">
        <v>59</v>
      </c>
      <c r="C67" s="23" t="s">
        <v>69</v>
      </c>
      <c r="D67" s="33" t="s">
        <v>104</v>
      </c>
      <c r="E67" s="34">
        <v>1563500</v>
      </c>
      <c r="F67" s="35">
        <v>1320371.6599999999</v>
      </c>
      <c r="G67" s="69">
        <f t="shared" si="7"/>
        <v>0.8444973840741925</v>
      </c>
    </row>
    <row r="68" spans="1:7" s="1" customFormat="1" ht="13.5" customHeight="1" x14ac:dyDescent="0.2">
      <c r="D68" s="26" t="s">
        <v>105</v>
      </c>
      <c r="E68" s="27">
        <f>SUM(E60:E67)</f>
        <v>481982500</v>
      </c>
      <c r="F68" s="27">
        <f t="shared" ref="F68" si="8">SUM(F60:F67)</f>
        <v>438352347.25999999</v>
      </c>
      <c r="G68" s="84">
        <f t="shared" si="7"/>
        <v>0.90947772431571683</v>
      </c>
    </row>
    <row r="69" spans="1:7" s="1" customFormat="1" ht="60.75" customHeight="1" x14ac:dyDescent="0.2">
      <c r="A69" s="3" t="s">
        <v>4</v>
      </c>
      <c r="B69" s="3" t="s">
        <v>5</v>
      </c>
      <c r="C69" s="3" t="s">
        <v>6</v>
      </c>
      <c r="D69" s="71" t="s">
        <v>7</v>
      </c>
      <c r="E69" s="71" t="s">
        <v>8</v>
      </c>
      <c r="F69" s="4" t="s">
        <v>290</v>
      </c>
      <c r="G69" s="65" t="s">
        <v>9</v>
      </c>
    </row>
    <row r="70" spans="1:7" s="1" customFormat="1" ht="13.5" customHeight="1" x14ac:dyDescent="0.2">
      <c r="A70" s="22" t="s">
        <v>55</v>
      </c>
      <c r="B70" s="22"/>
      <c r="C70" s="22"/>
      <c r="D70" s="22"/>
      <c r="E70" s="22"/>
      <c r="F70" s="5"/>
      <c r="G70" s="77"/>
    </row>
    <row r="71" spans="1:7" s="1" customFormat="1" ht="13.5" customHeight="1" x14ac:dyDescent="0.2">
      <c r="B71" s="18"/>
      <c r="C71" s="18"/>
      <c r="D71" s="88"/>
      <c r="E71" s="88"/>
      <c r="F71" s="36"/>
      <c r="G71" s="80"/>
    </row>
    <row r="72" spans="1:7" s="1" customFormat="1" ht="13.5" customHeight="1" x14ac:dyDescent="0.2">
      <c r="B72" s="18"/>
      <c r="C72" s="18"/>
      <c r="D72" s="89" t="s">
        <v>106</v>
      </c>
      <c r="E72" s="89" t="s">
        <v>57</v>
      </c>
      <c r="F72" s="36"/>
      <c r="G72" s="80"/>
    </row>
    <row r="73" spans="1:7" s="1" customFormat="1" ht="13.5" customHeight="1" x14ac:dyDescent="0.2">
      <c r="A73" s="7" t="s">
        <v>107</v>
      </c>
      <c r="B73" s="23" t="s">
        <v>59</v>
      </c>
      <c r="C73" s="37" t="s">
        <v>108</v>
      </c>
      <c r="D73" s="30" t="s">
        <v>109</v>
      </c>
      <c r="E73" s="25">
        <v>3000000</v>
      </c>
      <c r="F73" s="11">
        <v>2735439</v>
      </c>
      <c r="G73" s="69">
        <f t="shared" ref="G73:G102" si="9">+F73/E73</f>
        <v>0.91181299999999998</v>
      </c>
    </row>
    <row r="74" spans="1:7" s="1" customFormat="1" ht="13.5" customHeight="1" x14ac:dyDescent="0.2">
      <c r="A74" s="7" t="s">
        <v>110</v>
      </c>
      <c r="B74" s="23" t="s">
        <v>59</v>
      </c>
      <c r="C74" s="37" t="s">
        <v>111</v>
      </c>
      <c r="D74" s="30" t="s">
        <v>112</v>
      </c>
      <c r="E74" s="25">
        <v>9450000</v>
      </c>
      <c r="F74" s="11">
        <v>8505122.2400000002</v>
      </c>
      <c r="G74" s="69">
        <f t="shared" si="9"/>
        <v>0.90001293544973548</v>
      </c>
    </row>
    <row r="75" spans="1:7" s="1" customFormat="1" ht="13.5" customHeight="1" x14ac:dyDescent="0.2">
      <c r="A75" s="7" t="s">
        <v>113</v>
      </c>
      <c r="B75" s="23" t="s">
        <v>59</v>
      </c>
      <c r="C75" s="37" t="s">
        <v>114</v>
      </c>
      <c r="D75" s="30" t="s">
        <v>115</v>
      </c>
      <c r="E75" s="25">
        <v>3000000</v>
      </c>
      <c r="F75" s="11">
        <v>3000000</v>
      </c>
      <c r="G75" s="69">
        <f t="shared" si="9"/>
        <v>1</v>
      </c>
    </row>
    <row r="76" spans="1:7" s="1" customFormat="1" ht="13.5" customHeight="1" x14ac:dyDescent="0.2">
      <c r="A76" s="7" t="s">
        <v>116</v>
      </c>
      <c r="B76" s="23" t="s">
        <v>59</v>
      </c>
      <c r="C76" s="37" t="s">
        <v>114</v>
      </c>
      <c r="D76" s="30" t="s">
        <v>117</v>
      </c>
      <c r="E76" s="25">
        <f>12000*610</f>
        <v>7320000</v>
      </c>
      <c r="F76" s="11">
        <f>4247903.78-3000000+4943243.65</f>
        <v>6191147.4300000006</v>
      </c>
      <c r="G76" s="69">
        <f t="shared" si="9"/>
        <v>0.84578516803278703</v>
      </c>
    </row>
    <row r="77" spans="1:7" s="1" customFormat="1" ht="13.5" customHeight="1" x14ac:dyDescent="0.2">
      <c r="A77" s="7" t="s">
        <v>118</v>
      </c>
      <c r="B77" s="23" t="s">
        <v>59</v>
      </c>
      <c r="C77" s="37" t="s">
        <v>119</v>
      </c>
      <c r="D77" s="30" t="s">
        <v>120</v>
      </c>
      <c r="E77" s="25">
        <v>1900000</v>
      </c>
      <c r="F77" s="11">
        <v>1900000</v>
      </c>
      <c r="G77" s="69">
        <f t="shared" si="9"/>
        <v>1</v>
      </c>
    </row>
    <row r="78" spans="1:7" s="1" customFormat="1" ht="13.5" customHeight="1" x14ac:dyDescent="0.2">
      <c r="A78" s="7" t="s">
        <v>121</v>
      </c>
      <c r="B78" s="23" t="s">
        <v>59</v>
      </c>
      <c r="C78" s="37" t="s">
        <v>101</v>
      </c>
      <c r="D78" s="30" t="s">
        <v>122</v>
      </c>
      <c r="E78" s="25">
        <v>5000000</v>
      </c>
      <c r="F78" s="11">
        <v>1073424</v>
      </c>
      <c r="G78" s="69">
        <f t="shared" si="9"/>
        <v>0.21468480000000001</v>
      </c>
    </row>
    <row r="79" spans="1:7" s="1" customFormat="1" ht="13.5" customHeight="1" x14ac:dyDescent="0.2">
      <c r="A79" s="7" t="s">
        <v>123</v>
      </c>
      <c r="B79" s="23" t="s">
        <v>59</v>
      </c>
      <c r="C79" s="37" t="s">
        <v>101</v>
      </c>
      <c r="D79" s="30" t="s">
        <v>124</v>
      </c>
      <c r="E79" s="25">
        <v>1500000</v>
      </c>
      <c r="F79" s="11">
        <v>57593</v>
      </c>
      <c r="G79" s="69">
        <f t="shared" si="9"/>
        <v>3.839533333333333E-2</v>
      </c>
    </row>
    <row r="80" spans="1:7" s="1" customFormat="1" ht="13.5" customHeight="1" x14ac:dyDescent="0.2">
      <c r="A80" s="7" t="s">
        <v>125</v>
      </c>
      <c r="B80" s="23" t="s">
        <v>59</v>
      </c>
      <c r="C80" s="37" t="s">
        <v>101</v>
      </c>
      <c r="D80" s="30" t="s">
        <v>126</v>
      </c>
      <c r="E80" s="25">
        <v>200000</v>
      </c>
      <c r="F80" s="11">
        <v>200512</v>
      </c>
      <c r="G80" s="69">
        <f t="shared" si="9"/>
        <v>1.0025599999999999</v>
      </c>
    </row>
    <row r="81" spans="1:7" s="1" customFormat="1" ht="13.5" customHeight="1" x14ac:dyDescent="0.2">
      <c r="A81" s="7" t="s">
        <v>127</v>
      </c>
      <c r="B81" s="23" t="s">
        <v>59</v>
      </c>
      <c r="C81" s="37" t="s">
        <v>101</v>
      </c>
      <c r="D81" s="30" t="s">
        <v>128</v>
      </c>
      <c r="E81" s="25">
        <v>2000000</v>
      </c>
      <c r="F81" s="11">
        <v>716466</v>
      </c>
      <c r="G81" s="69">
        <f t="shared" si="9"/>
        <v>0.35823300000000002</v>
      </c>
    </row>
    <row r="82" spans="1:7" s="1" customFormat="1" ht="13.5" customHeight="1" x14ac:dyDescent="0.2">
      <c r="A82" s="7" t="s">
        <v>129</v>
      </c>
      <c r="B82" s="23" t="s">
        <v>59</v>
      </c>
      <c r="C82" s="37" t="s">
        <v>101</v>
      </c>
      <c r="D82" s="30" t="s">
        <v>130</v>
      </c>
      <c r="E82" s="25">
        <v>500000</v>
      </c>
      <c r="F82" s="11">
        <v>0</v>
      </c>
      <c r="G82" s="69">
        <f t="shared" si="9"/>
        <v>0</v>
      </c>
    </row>
    <row r="83" spans="1:7" s="1" customFormat="1" ht="13.5" customHeight="1" x14ac:dyDescent="0.2">
      <c r="A83" s="7" t="s">
        <v>131</v>
      </c>
      <c r="B83" s="23" t="s">
        <v>59</v>
      </c>
      <c r="C83" s="37" t="s">
        <v>132</v>
      </c>
      <c r="D83" s="30" t="s">
        <v>133</v>
      </c>
      <c r="E83" s="25">
        <v>7000000</v>
      </c>
      <c r="F83" s="11">
        <v>5107162.5599999996</v>
      </c>
      <c r="G83" s="69">
        <f t="shared" si="9"/>
        <v>0.72959465142857138</v>
      </c>
    </row>
    <row r="84" spans="1:7" s="1" customFormat="1" ht="13.5" customHeight="1" x14ac:dyDescent="0.2">
      <c r="A84" s="7" t="s">
        <v>134</v>
      </c>
      <c r="B84" s="23" t="s">
        <v>59</v>
      </c>
      <c r="C84" s="37" t="s">
        <v>135</v>
      </c>
      <c r="D84" s="30" t="s">
        <v>136</v>
      </c>
      <c r="E84" s="25">
        <v>32000000</v>
      </c>
      <c r="F84" s="11">
        <v>31979096.190000001</v>
      </c>
      <c r="G84" s="69">
        <f t="shared" si="9"/>
        <v>0.9993467559375</v>
      </c>
    </row>
    <row r="85" spans="1:7" s="1" customFormat="1" ht="13.5" customHeight="1" x14ac:dyDescent="0.2">
      <c r="A85" s="7" t="s">
        <v>137</v>
      </c>
      <c r="B85" s="23" t="s">
        <v>59</v>
      </c>
      <c r="C85" s="37" t="s">
        <v>138</v>
      </c>
      <c r="D85" s="30" t="s">
        <v>139</v>
      </c>
      <c r="E85" s="25">
        <v>2000000</v>
      </c>
      <c r="F85" s="11">
        <f>397570.24+1510484.81</f>
        <v>1908055.05</v>
      </c>
      <c r="G85" s="69">
        <f t="shared" si="9"/>
        <v>0.95402752499999999</v>
      </c>
    </row>
    <row r="86" spans="1:7" s="1" customFormat="1" ht="13.5" customHeight="1" x14ac:dyDescent="0.2">
      <c r="A86" s="7" t="s">
        <v>140</v>
      </c>
      <c r="B86" s="23" t="s">
        <v>59</v>
      </c>
      <c r="C86" s="37" t="s">
        <v>141</v>
      </c>
      <c r="D86" s="30" t="s">
        <v>142</v>
      </c>
      <c r="E86" s="25">
        <v>2000000</v>
      </c>
      <c r="F86" s="11">
        <f>89546.85+1818622.31</f>
        <v>1908169.1600000001</v>
      </c>
      <c r="G86" s="69">
        <f t="shared" si="9"/>
        <v>0.95408458000000007</v>
      </c>
    </row>
    <row r="87" spans="1:7" s="1" customFormat="1" ht="13.5" customHeight="1" x14ac:dyDescent="0.2">
      <c r="A87" s="7" t="s">
        <v>143</v>
      </c>
      <c r="B87" s="23" t="s">
        <v>59</v>
      </c>
      <c r="C87" s="37" t="s">
        <v>144</v>
      </c>
      <c r="D87" s="30" t="s">
        <v>145</v>
      </c>
      <c r="E87" s="25">
        <v>8000000</v>
      </c>
      <c r="F87" s="11">
        <f>109252.24+3182660.95+788221.99</f>
        <v>4080135.1800000006</v>
      </c>
      <c r="G87" s="69">
        <f t="shared" si="9"/>
        <v>0.51001689750000012</v>
      </c>
    </row>
    <row r="88" spans="1:7" s="1" customFormat="1" ht="13.5" customHeight="1" x14ac:dyDescent="0.2">
      <c r="A88" s="7" t="s">
        <v>146</v>
      </c>
      <c r="B88" s="23" t="s">
        <v>59</v>
      </c>
      <c r="C88" s="37" t="s">
        <v>147</v>
      </c>
      <c r="D88" s="30" t="s">
        <v>148</v>
      </c>
      <c r="E88" s="25">
        <v>17500000</v>
      </c>
      <c r="F88" s="11">
        <v>14609848.17</v>
      </c>
      <c r="G88" s="69">
        <f t="shared" si="9"/>
        <v>0.83484846685714287</v>
      </c>
    </row>
    <row r="89" spans="1:7" s="1" customFormat="1" ht="13.5" customHeight="1" x14ac:dyDescent="0.2">
      <c r="A89" s="7" t="s">
        <v>149</v>
      </c>
      <c r="B89" s="23" t="s">
        <v>150</v>
      </c>
      <c r="C89" s="37" t="s">
        <v>151</v>
      </c>
      <c r="D89" s="30" t="s">
        <v>152</v>
      </c>
      <c r="E89" s="25">
        <v>6000000</v>
      </c>
      <c r="F89" s="11">
        <f>4677420+129466+1060522.16</f>
        <v>5867408.1600000001</v>
      </c>
      <c r="G89" s="69">
        <f t="shared" si="9"/>
        <v>0.97790136000000005</v>
      </c>
    </row>
    <row r="90" spans="1:7" s="1" customFormat="1" ht="13.5" customHeight="1" x14ac:dyDescent="0.2">
      <c r="A90" s="7" t="s">
        <v>153</v>
      </c>
      <c r="B90" s="23" t="s">
        <v>59</v>
      </c>
      <c r="C90" s="37" t="s">
        <v>154</v>
      </c>
      <c r="D90" s="30" t="s">
        <v>155</v>
      </c>
      <c r="E90" s="25">
        <v>1500000</v>
      </c>
      <c r="F90" s="11">
        <v>856680.58</v>
      </c>
      <c r="G90" s="69">
        <f t="shared" si="9"/>
        <v>0.57112038666666665</v>
      </c>
    </row>
    <row r="91" spans="1:7" s="1" customFormat="1" ht="13.5" customHeight="1" x14ac:dyDescent="0.2">
      <c r="A91" s="7" t="s">
        <v>156</v>
      </c>
      <c r="B91" s="23" t="s">
        <v>59</v>
      </c>
      <c r="C91" s="37" t="s">
        <v>157</v>
      </c>
      <c r="D91" s="30" t="s">
        <v>158</v>
      </c>
      <c r="E91" s="25">
        <v>500000</v>
      </c>
      <c r="F91" s="11">
        <v>0</v>
      </c>
      <c r="G91" s="69">
        <f t="shared" si="9"/>
        <v>0</v>
      </c>
    </row>
    <row r="92" spans="1:7" s="1" customFormat="1" ht="13.5" customHeight="1" x14ac:dyDescent="0.2">
      <c r="A92" s="7" t="s">
        <v>159</v>
      </c>
      <c r="B92" s="23" t="s">
        <v>59</v>
      </c>
      <c r="C92" s="37" t="s">
        <v>160</v>
      </c>
      <c r="D92" s="30" t="s">
        <v>161</v>
      </c>
      <c r="E92" s="25">
        <v>1000000</v>
      </c>
      <c r="F92" s="11">
        <v>105600</v>
      </c>
      <c r="G92" s="69">
        <f t="shared" si="9"/>
        <v>0.1056</v>
      </c>
    </row>
    <row r="93" spans="1:7" s="1" customFormat="1" ht="13.5" customHeight="1" x14ac:dyDescent="0.2">
      <c r="A93" s="7" t="s">
        <v>162</v>
      </c>
      <c r="B93" s="23" t="s">
        <v>59</v>
      </c>
      <c r="C93" s="37" t="s">
        <v>163</v>
      </c>
      <c r="D93" s="30" t="s">
        <v>164</v>
      </c>
      <c r="E93" s="25">
        <v>3500000</v>
      </c>
      <c r="F93" s="11">
        <v>714356.5</v>
      </c>
      <c r="G93" s="69">
        <f t="shared" si="9"/>
        <v>0.20410185714285714</v>
      </c>
    </row>
    <row r="94" spans="1:7" s="1" customFormat="1" ht="13.5" customHeight="1" x14ac:dyDescent="0.2">
      <c r="A94" s="7" t="s">
        <v>165</v>
      </c>
      <c r="B94" s="23" t="s">
        <v>59</v>
      </c>
      <c r="C94" s="37" t="s">
        <v>138</v>
      </c>
      <c r="D94" s="30" t="s">
        <v>166</v>
      </c>
      <c r="E94" s="25">
        <v>3000000</v>
      </c>
      <c r="F94" s="11">
        <v>837313.4</v>
      </c>
      <c r="G94" s="69">
        <f t="shared" si="9"/>
        <v>0.27910446666666666</v>
      </c>
    </row>
    <row r="95" spans="1:7" s="1" customFormat="1" ht="13.5" customHeight="1" x14ac:dyDescent="0.2">
      <c r="A95" s="7" t="s">
        <v>167</v>
      </c>
      <c r="B95" s="23" t="s">
        <v>59</v>
      </c>
      <c r="C95" s="37" t="s">
        <v>135</v>
      </c>
      <c r="D95" s="30" t="s">
        <v>168</v>
      </c>
      <c r="E95" s="25">
        <v>35000000</v>
      </c>
      <c r="F95" s="11">
        <v>24391178.039999999</v>
      </c>
      <c r="G95" s="69">
        <f t="shared" si="9"/>
        <v>0.69689080114285706</v>
      </c>
    </row>
    <row r="96" spans="1:7" s="1" customFormat="1" ht="13.5" customHeight="1" x14ac:dyDescent="0.2">
      <c r="A96" s="7" t="s">
        <v>169</v>
      </c>
      <c r="B96" s="23" t="s">
        <v>59</v>
      </c>
      <c r="C96" s="37" t="s">
        <v>144</v>
      </c>
      <c r="D96" s="30" t="s">
        <v>170</v>
      </c>
      <c r="E96" s="25">
        <v>500000</v>
      </c>
      <c r="F96" s="11">
        <v>298361.62</v>
      </c>
      <c r="G96" s="69">
        <f t="shared" si="9"/>
        <v>0.59672323999999999</v>
      </c>
    </row>
    <row r="97" spans="1:9" s="2" customFormat="1" ht="13.5" customHeight="1" x14ac:dyDescent="0.2">
      <c r="A97" s="7" t="s">
        <v>171</v>
      </c>
      <c r="B97" s="23" t="s">
        <v>59</v>
      </c>
      <c r="C97" s="37" t="s">
        <v>138</v>
      </c>
      <c r="D97" s="30" t="s">
        <v>172</v>
      </c>
      <c r="E97" s="25">
        <v>500000</v>
      </c>
      <c r="F97" s="11">
        <v>0</v>
      </c>
      <c r="G97" s="69">
        <f t="shared" si="9"/>
        <v>0</v>
      </c>
      <c r="H97" s="1"/>
      <c r="I97" s="1"/>
    </row>
    <row r="98" spans="1:9" s="2" customFormat="1" ht="13.5" customHeight="1" x14ac:dyDescent="0.2">
      <c r="A98" s="7" t="s">
        <v>173</v>
      </c>
      <c r="B98" s="23" t="s">
        <v>59</v>
      </c>
      <c r="C98" s="37" t="s">
        <v>174</v>
      </c>
      <c r="D98" s="30" t="s">
        <v>175</v>
      </c>
      <c r="E98" s="25">
        <f>7600000+789000+36750000-2400000</f>
        <v>42739000</v>
      </c>
      <c r="F98" s="11">
        <f>13565547.53+20563781.04</f>
        <v>34129328.57</v>
      </c>
      <c r="G98" s="69">
        <f t="shared" si="9"/>
        <v>0.7985523425910761</v>
      </c>
      <c r="H98" s="1"/>
      <c r="I98" s="1"/>
    </row>
    <row r="99" spans="1:9" s="2" customFormat="1" ht="13.5" customHeight="1" x14ac:dyDescent="0.2">
      <c r="A99" s="7" t="s">
        <v>176</v>
      </c>
      <c r="B99" s="23" t="s">
        <v>59</v>
      </c>
      <c r="C99" s="37" t="s">
        <v>177</v>
      </c>
      <c r="D99" s="30" t="s">
        <v>178</v>
      </c>
      <c r="E99" s="25">
        <v>15000000</v>
      </c>
      <c r="F99" s="11">
        <v>3532254.74</v>
      </c>
      <c r="G99" s="69">
        <f t="shared" si="9"/>
        <v>0.23548364933333335</v>
      </c>
      <c r="H99" s="1"/>
      <c r="I99" s="1"/>
    </row>
    <row r="100" spans="1:9" s="2" customFormat="1" ht="13.5" customHeight="1" x14ac:dyDescent="0.2">
      <c r="A100" s="7" t="s">
        <v>179</v>
      </c>
      <c r="B100" s="23" t="s">
        <v>59</v>
      </c>
      <c r="C100" s="37" t="s">
        <v>180</v>
      </c>
      <c r="D100" s="30" t="s">
        <v>181</v>
      </c>
      <c r="E100" s="25">
        <f>39598000-3730000</f>
        <v>35868000</v>
      </c>
      <c r="F100" s="11">
        <f>1577582.75+8240404.28</f>
        <v>9817987.0300000012</v>
      </c>
      <c r="G100" s="69">
        <f t="shared" si="9"/>
        <v>0.27372552219248358</v>
      </c>
      <c r="H100" s="1"/>
      <c r="I100" s="1"/>
    </row>
    <row r="101" spans="1:9" s="1" customFormat="1" ht="13.5" customHeight="1" x14ac:dyDescent="0.2">
      <c r="A101" s="7" t="s">
        <v>182</v>
      </c>
      <c r="B101" s="23" t="s">
        <v>59</v>
      </c>
      <c r="C101" s="37" t="s">
        <v>138</v>
      </c>
      <c r="D101" s="30" t="s">
        <v>183</v>
      </c>
      <c r="E101" s="25">
        <v>1500000</v>
      </c>
      <c r="F101" s="35">
        <v>178491.45</v>
      </c>
      <c r="G101" s="69">
        <f t="shared" si="9"/>
        <v>0.11899430000000001</v>
      </c>
    </row>
    <row r="102" spans="1:9" s="2" customFormat="1" ht="13.5" customHeight="1" x14ac:dyDescent="0.2">
      <c r="A102" s="1"/>
      <c r="B102" s="1"/>
      <c r="C102" s="1"/>
      <c r="D102" s="26" t="s">
        <v>184</v>
      </c>
      <c r="E102" s="27">
        <f>SUM(E73:E101)</f>
        <v>248977000</v>
      </c>
      <c r="F102" s="27">
        <f t="shared" ref="F102" si="10">SUM(F73:F101)</f>
        <v>164701130.06999999</v>
      </c>
      <c r="G102" s="84">
        <f t="shared" si="9"/>
        <v>0.66151142503122773</v>
      </c>
      <c r="H102" s="1"/>
      <c r="I102" s="1"/>
    </row>
    <row r="103" spans="1:9" s="1" customFormat="1" ht="63.75" customHeight="1" x14ac:dyDescent="0.2">
      <c r="A103" s="3" t="s">
        <v>4</v>
      </c>
      <c r="B103" s="3" t="s">
        <v>5</v>
      </c>
      <c r="C103" s="3" t="s">
        <v>6</v>
      </c>
      <c r="D103" s="71" t="s">
        <v>7</v>
      </c>
      <c r="E103" s="71" t="s">
        <v>8</v>
      </c>
      <c r="F103" s="4" t="s">
        <v>290</v>
      </c>
      <c r="G103" s="65" t="s">
        <v>9</v>
      </c>
    </row>
    <row r="104" spans="1:9" s="1" customFormat="1" ht="13.5" customHeight="1" x14ac:dyDescent="0.2">
      <c r="A104" s="22" t="s">
        <v>55</v>
      </c>
      <c r="B104" s="22"/>
      <c r="C104" s="22"/>
      <c r="D104" s="22"/>
      <c r="E104" s="22"/>
      <c r="F104" s="5"/>
      <c r="G104" s="77"/>
    </row>
    <row r="105" spans="1:9" s="1" customFormat="1" ht="13.5" customHeight="1" x14ac:dyDescent="0.2">
      <c r="D105" s="88"/>
      <c r="E105" s="88" t="s">
        <v>185</v>
      </c>
      <c r="F105" s="36"/>
      <c r="G105" s="80"/>
    </row>
    <row r="106" spans="1:9" s="1" customFormat="1" ht="13.5" customHeight="1" x14ac:dyDescent="0.2">
      <c r="D106" s="89" t="s">
        <v>186</v>
      </c>
      <c r="E106" s="89" t="s">
        <v>57</v>
      </c>
      <c r="F106" s="36"/>
      <c r="G106" s="80"/>
    </row>
    <row r="107" spans="1:9" s="1" customFormat="1" ht="13.5" customHeight="1" x14ac:dyDescent="0.2">
      <c r="A107" s="8" t="s">
        <v>187</v>
      </c>
      <c r="B107" s="23" t="s">
        <v>59</v>
      </c>
      <c r="C107" s="37" t="s">
        <v>188</v>
      </c>
      <c r="D107" s="30" t="s">
        <v>189</v>
      </c>
      <c r="E107" s="25">
        <v>45000000</v>
      </c>
      <c r="F107" s="11">
        <v>34137970.380000003</v>
      </c>
      <c r="G107" s="69">
        <f>+F107/E107</f>
        <v>0.75862156400000003</v>
      </c>
    </row>
    <row r="108" spans="1:9" s="2" customFormat="1" ht="13.5" customHeight="1" x14ac:dyDescent="0.2">
      <c r="A108" s="8" t="s">
        <v>190</v>
      </c>
      <c r="B108" s="29" t="s">
        <v>191</v>
      </c>
      <c r="C108" s="37" t="s">
        <v>192</v>
      </c>
      <c r="D108" s="30" t="s">
        <v>193</v>
      </c>
      <c r="E108" s="25">
        <f>16500000*12</f>
        <v>198000000</v>
      </c>
      <c r="F108" s="11">
        <v>58502451.730000004</v>
      </c>
      <c r="G108" s="69">
        <f>+F108/E108</f>
        <v>0.29546692792929297</v>
      </c>
      <c r="H108" s="1"/>
      <c r="I108" s="1"/>
    </row>
    <row r="109" spans="1:9" s="1" customFormat="1" ht="13.5" customHeight="1" x14ac:dyDescent="0.2">
      <c r="B109" s="18"/>
      <c r="C109" s="18"/>
      <c r="D109" s="26" t="s">
        <v>194</v>
      </c>
      <c r="E109" s="27">
        <f>SUM(E107:E108)</f>
        <v>243000000</v>
      </c>
      <c r="F109" s="27">
        <f t="shared" ref="F109" si="11">SUM(F107:F108)</f>
        <v>92640422.110000014</v>
      </c>
      <c r="G109" s="84" t="e">
        <f>+#REF!/E109</f>
        <v>#REF!</v>
      </c>
    </row>
    <row r="110" spans="1:9" s="1" customFormat="1" ht="13.5" customHeight="1" x14ac:dyDescent="0.2">
      <c r="B110" s="18"/>
      <c r="C110" s="18"/>
      <c r="D110" s="88"/>
      <c r="E110" s="88"/>
      <c r="F110" s="36"/>
      <c r="G110" s="80"/>
    </row>
    <row r="111" spans="1:9" s="1" customFormat="1" ht="13.5" customHeight="1" x14ac:dyDescent="0.2">
      <c r="D111" s="89" t="s">
        <v>195</v>
      </c>
      <c r="E111" s="89" t="s">
        <v>57</v>
      </c>
      <c r="F111" s="36"/>
      <c r="G111" s="80"/>
    </row>
    <row r="112" spans="1:9" s="1" customFormat="1" ht="13.5" customHeight="1" x14ac:dyDescent="0.2">
      <c r="A112" s="8" t="s">
        <v>196</v>
      </c>
      <c r="B112" s="23" t="s">
        <v>59</v>
      </c>
      <c r="C112" s="37" t="s">
        <v>197</v>
      </c>
      <c r="D112" s="30" t="s">
        <v>158</v>
      </c>
      <c r="E112" s="25">
        <v>1500000</v>
      </c>
      <c r="F112" s="11">
        <f>202583.78+79301.06</f>
        <v>281884.83999999997</v>
      </c>
      <c r="G112" s="69">
        <f>+F112/E112</f>
        <v>0.18792322666666664</v>
      </c>
    </row>
    <row r="113" spans="1:9" s="1" customFormat="1" ht="13.5" customHeight="1" x14ac:dyDescent="0.2">
      <c r="A113" s="8" t="s">
        <v>198</v>
      </c>
      <c r="B113" s="23" t="s">
        <v>59</v>
      </c>
      <c r="C113" s="37" t="s">
        <v>199</v>
      </c>
      <c r="D113" s="30" t="s">
        <v>200</v>
      </c>
      <c r="E113" s="25">
        <v>500000</v>
      </c>
      <c r="F113" s="11">
        <v>20341.72</v>
      </c>
      <c r="G113" s="69">
        <f>+F113/E113</f>
        <v>4.0683440000000001E-2</v>
      </c>
    </row>
    <row r="114" spans="1:9" s="1" customFormat="1" ht="13.5" customHeight="1" x14ac:dyDescent="0.2">
      <c r="A114" s="8" t="s">
        <v>201</v>
      </c>
      <c r="B114" s="23" t="s">
        <v>59</v>
      </c>
      <c r="C114" s="23" t="s">
        <v>197</v>
      </c>
      <c r="D114" s="30" t="s">
        <v>202</v>
      </c>
      <c r="E114" s="25">
        <v>3000000</v>
      </c>
      <c r="F114" s="11">
        <v>0</v>
      </c>
      <c r="G114" s="69">
        <f>+F114/E114</f>
        <v>0</v>
      </c>
    </row>
    <row r="115" spans="1:9" s="1" customFormat="1" ht="13.5" customHeight="1" x14ac:dyDescent="0.2">
      <c r="D115" s="26" t="s">
        <v>203</v>
      </c>
      <c r="E115" s="27">
        <f>SUM(E112:E114)</f>
        <v>5000000</v>
      </c>
      <c r="F115" s="27">
        <f t="shared" ref="F115" si="12">SUM(F112:F114)</f>
        <v>302226.55999999994</v>
      </c>
      <c r="G115" s="84">
        <f>+F115/E115</f>
        <v>6.0445311999999987E-2</v>
      </c>
    </row>
    <row r="116" spans="1:9" s="1" customFormat="1" ht="13.5" customHeight="1" x14ac:dyDescent="0.2">
      <c r="D116" s="88"/>
      <c r="E116" s="88"/>
      <c r="F116" s="36"/>
      <c r="G116" s="80"/>
    </row>
    <row r="117" spans="1:9" s="2" customFormat="1" ht="13.5" customHeight="1" x14ac:dyDescent="0.2">
      <c r="A117" s="1"/>
      <c r="B117" s="1"/>
      <c r="C117" s="1"/>
      <c r="D117" s="89" t="s">
        <v>40</v>
      </c>
      <c r="E117" s="89" t="s">
        <v>57</v>
      </c>
      <c r="F117" s="36"/>
      <c r="G117" s="80"/>
      <c r="H117" s="1"/>
      <c r="I117" s="1"/>
    </row>
    <row r="118" spans="1:9" s="1" customFormat="1" ht="13.5" customHeight="1" x14ac:dyDescent="0.2">
      <c r="A118" s="7" t="s">
        <v>204</v>
      </c>
      <c r="B118" s="23" t="s">
        <v>59</v>
      </c>
      <c r="C118" s="37" t="s">
        <v>197</v>
      </c>
      <c r="D118" s="30" t="s">
        <v>158</v>
      </c>
      <c r="E118" s="25">
        <f>+E27</f>
        <v>22650000</v>
      </c>
      <c r="F118" s="11">
        <f>7944809.7+2782879.16</f>
        <v>10727688.859999999</v>
      </c>
      <c r="G118" s="69">
        <f>+F118/E118</f>
        <v>0.47362864724061809</v>
      </c>
    </row>
    <row r="119" spans="1:9" s="1" customFormat="1" ht="13.5" customHeight="1" x14ac:dyDescent="0.2">
      <c r="A119" s="18"/>
      <c r="B119" s="18"/>
      <c r="C119" s="18"/>
      <c r="D119" s="26" t="s">
        <v>205</v>
      </c>
      <c r="E119" s="27">
        <f>SUM(E118:E118)</f>
        <v>22650000</v>
      </c>
      <c r="F119" s="27">
        <f t="shared" ref="F119" si="13">SUM(F118:F118)</f>
        <v>10727688.859999999</v>
      </c>
      <c r="G119" s="79">
        <f>+F119/E119</f>
        <v>0.47362864724061809</v>
      </c>
    </row>
    <row r="120" spans="1:9" s="1" customFormat="1" ht="13.5" customHeight="1" x14ac:dyDescent="0.2">
      <c r="D120" s="88"/>
      <c r="E120" s="88"/>
      <c r="F120" s="36"/>
      <c r="G120" s="80"/>
    </row>
    <row r="121" spans="1:9" s="1" customFormat="1" ht="13.5" customHeight="1" x14ac:dyDescent="0.2">
      <c r="D121" s="89" t="s">
        <v>206</v>
      </c>
      <c r="E121" s="89" t="s">
        <v>57</v>
      </c>
      <c r="F121" s="36"/>
      <c r="G121" s="80"/>
    </row>
    <row r="122" spans="1:9" s="1" customFormat="1" ht="13.5" customHeight="1" x14ac:dyDescent="0.2">
      <c r="A122" s="8" t="s">
        <v>207</v>
      </c>
      <c r="B122" s="23" t="s">
        <v>81</v>
      </c>
      <c r="C122" s="37" t="s">
        <v>208</v>
      </c>
      <c r="D122" s="24" t="s">
        <v>209</v>
      </c>
      <c r="E122" s="25">
        <v>2400000</v>
      </c>
      <c r="F122" s="40">
        <v>0</v>
      </c>
      <c r="G122" s="69">
        <f>+F122/E122</f>
        <v>0</v>
      </c>
    </row>
    <row r="123" spans="1:9" s="1" customFormat="1" ht="13.5" customHeight="1" x14ac:dyDescent="0.2">
      <c r="A123" s="8" t="s">
        <v>210</v>
      </c>
      <c r="B123" s="23" t="s">
        <v>59</v>
      </c>
      <c r="C123" s="23" t="s">
        <v>197</v>
      </c>
      <c r="D123" s="30" t="s">
        <v>211</v>
      </c>
      <c r="E123" s="25">
        <v>2256000</v>
      </c>
      <c r="F123" s="11">
        <v>683828.92</v>
      </c>
      <c r="G123" s="69">
        <f>+F123/E123</f>
        <v>0.30311565602836882</v>
      </c>
    </row>
    <row r="124" spans="1:9" s="1" customFormat="1" ht="13.5" customHeight="1" x14ac:dyDescent="0.2">
      <c r="A124" s="18"/>
      <c r="B124" s="18"/>
      <c r="C124" s="18"/>
      <c r="D124" s="26" t="s">
        <v>212</v>
      </c>
      <c r="E124" s="27">
        <f>SUM(E122:E123)</f>
        <v>4656000</v>
      </c>
      <c r="F124" s="27">
        <f t="shared" ref="F124" si="14">SUM(F122:F123)</f>
        <v>683828.92</v>
      </c>
      <c r="G124" s="68">
        <f>+F124/E124</f>
        <v>0.14687047250859109</v>
      </c>
    </row>
    <row r="125" spans="1:9" s="1" customFormat="1" ht="13.5" customHeight="1" x14ac:dyDescent="0.2">
      <c r="B125" s="18"/>
      <c r="C125" s="18"/>
      <c r="D125" s="88"/>
      <c r="E125" s="88"/>
      <c r="F125" s="36"/>
      <c r="G125" s="80"/>
    </row>
    <row r="126" spans="1:9" s="2" customFormat="1" ht="13.5" customHeight="1" x14ac:dyDescent="0.2">
      <c r="B126" s="18"/>
      <c r="C126" s="18"/>
      <c r="D126" s="89" t="s">
        <v>213</v>
      </c>
      <c r="E126" s="89" t="s">
        <v>57</v>
      </c>
      <c r="F126" s="36"/>
      <c r="G126" s="80"/>
      <c r="H126" s="1"/>
      <c r="I126" s="1"/>
    </row>
    <row r="127" spans="1:9" s="1" customFormat="1" ht="13.5" customHeight="1" x14ac:dyDescent="0.2">
      <c r="A127" s="8" t="s">
        <v>214</v>
      </c>
      <c r="B127" s="29" t="s">
        <v>59</v>
      </c>
      <c r="C127" s="72" t="s">
        <v>163</v>
      </c>
      <c r="D127" s="73" t="s">
        <v>215</v>
      </c>
      <c r="E127" s="64">
        <v>16000000</v>
      </c>
      <c r="F127" s="11">
        <f>16819253.12-615285</f>
        <v>16203968.120000001</v>
      </c>
      <c r="G127" s="69">
        <f t="shared" ref="G127:G136" si="15">+F127/E127</f>
        <v>1.0127480075000002</v>
      </c>
    </row>
    <row r="128" spans="1:9" s="1" customFormat="1" ht="13.5" customHeight="1" x14ac:dyDescent="0.2">
      <c r="A128" s="8" t="s">
        <v>216</v>
      </c>
      <c r="B128" s="29" t="s">
        <v>59</v>
      </c>
      <c r="C128" s="72" t="s">
        <v>163</v>
      </c>
      <c r="D128" s="73" t="s">
        <v>217</v>
      </c>
      <c r="E128" s="64">
        <v>20000000</v>
      </c>
      <c r="F128" s="11">
        <v>13080837.66</v>
      </c>
      <c r="G128" s="69">
        <f t="shared" si="15"/>
        <v>0.65404188299999999</v>
      </c>
    </row>
    <row r="129" spans="1:9" s="1" customFormat="1" ht="13.5" customHeight="1" x14ac:dyDescent="0.2">
      <c r="A129" s="8" t="s">
        <v>218</v>
      </c>
      <c r="B129" s="29" t="s">
        <v>59</v>
      </c>
      <c r="C129" s="72" t="s">
        <v>197</v>
      </c>
      <c r="D129" s="73" t="s">
        <v>219</v>
      </c>
      <c r="E129" s="64">
        <v>2000000</v>
      </c>
      <c r="F129" s="11">
        <v>1289828.3899999999</v>
      </c>
      <c r="G129" s="69">
        <f t="shared" si="15"/>
        <v>0.64491419499999991</v>
      </c>
    </row>
    <row r="130" spans="1:9" s="1" customFormat="1" ht="13.5" customHeight="1" x14ac:dyDescent="0.2">
      <c r="A130" s="8" t="s">
        <v>220</v>
      </c>
      <c r="B130" s="29" t="s">
        <v>59</v>
      </c>
      <c r="C130" s="72" t="s">
        <v>197</v>
      </c>
      <c r="D130" s="73" t="s">
        <v>221</v>
      </c>
      <c r="E130" s="64">
        <f>20000000-5191587</f>
        <v>14808413</v>
      </c>
      <c r="F130" s="11">
        <v>2013275.74</v>
      </c>
      <c r="G130" s="69">
        <f t="shared" si="15"/>
        <v>0.13595486160468376</v>
      </c>
    </row>
    <row r="131" spans="1:9" s="1" customFormat="1" ht="13.5" customHeight="1" x14ac:dyDescent="0.2">
      <c r="A131" s="8" t="s">
        <v>222</v>
      </c>
      <c r="B131" s="23" t="s">
        <v>59</v>
      </c>
      <c r="C131" s="37" t="s">
        <v>197</v>
      </c>
      <c r="D131" s="30" t="s">
        <v>223</v>
      </c>
      <c r="E131" s="25">
        <v>1300000</v>
      </c>
      <c r="F131" s="11">
        <f>1043768+22221.18</f>
        <v>1065989.18</v>
      </c>
      <c r="G131" s="69">
        <f t="shared" si="15"/>
        <v>0.81999167692307684</v>
      </c>
    </row>
    <row r="132" spans="1:9" s="2" customFormat="1" ht="13.5" customHeight="1" x14ac:dyDescent="0.2">
      <c r="A132" s="8" t="s">
        <v>224</v>
      </c>
      <c r="B132" s="23" t="s">
        <v>59</v>
      </c>
      <c r="C132" s="37" t="s">
        <v>225</v>
      </c>
      <c r="D132" s="30" t="s">
        <v>226</v>
      </c>
      <c r="E132" s="25">
        <v>3500000</v>
      </c>
      <c r="F132" s="11">
        <v>1034949.11</v>
      </c>
      <c r="G132" s="69">
        <f t="shared" si="15"/>
        <v>0.2956997457142857</v>
      </c>
      <c r="H132" s="1"/>
      <c r="I132" s="1"/>
    </row>
    <row r="133" spans="1:9" s="41" customFormat="1" ht="13.5" customHeight="1" x14ac:dyDescent="0.2">
      <c r="A133" s="8" t="s">
        <v>227</v>
      </c>
      <c r="B133" s="23" t="s">
        <v>59</v>
      </c>
      <c r="C133" s="37" t="s">
        <v>228</v>
      </c>
      <c r="D133" s="30" t="s">
        <v>229</v>
      </c>
      <c r="E133" s="25">
        <v>2500000</v>
      </c>
      <c r="F133" s="11">
        <v>1418007.91</v>
      </c>
      <c r="G133" s="69">
        <f t="shared" si="15"/>
        <v>0.56720316399999993</v>
      </c>
      <c r="H133" s="18"/>
      <c r="I133" s="18"/>
    </row>
    <row r="134" spans="1:9" s="2" customFormat="1" ht="13.5" customHeight="1" x14ac:dyDescent="0.2">
      <c r="A134" s="8" t="s">
        <v>230</v>
      </c>
      <c r="B134" s="23" t="s">
        <v>59</v>
      </c>
      <c r="C134" s="37" t="s">
        <v>157</v>
      </c>
      <c r="D134" s="30" t="s">
        <v>231</v>
      </c>
      <c r="E134" s="25">
        <v>5000000</v>
      </c>
      <c r="F134" s="11">
        <v>1396230.81</v>
      </c>
      <c r="G134" s="69">
        <f t="shared" si="15"/>
        <v>0.27924616200000002</v>
      </c>
      <c r="H134" s="1"/>
      <c r="I134" s="1"/>
    </row>
    <row r="135" spans="1:9" s="2" customFormat="1" ht="13.5" customHeight="1" x14ac:dyDescent="0.2">
      <c r="A135" s="8" t="s">
        <v>232</v>
      </c>
      <c r="B135" s="23" t="s">
        <v>81</v>
      </c>
      <c r="C135" s="37" t="s">
        <v>208</v>
      </c>
      <c r="D135" s="30" t="s">
        <v>233</v>
      </c>
      <c r="E135" s="34">
        <v>15000000</v>
      </c>
      <c r="F135" s="35">
        <v>11688263.810000001</v>
      </c>
      <c r="G135" s="69">
        <f t="shared" si="15"/>
        <v>0.77921758733333335</v>
      </c>
      <c r="H135" s="1"/>
      <c r="I135" s="1"/>
    </row>
    <row r="136" spans="1:9" s="2" customFormat="1" ht="13.5" customHeight="1" x14ac:dyDescent="0.2">
      <c r="D136" s="26" t="s">
        <v>234</v>
      </c>
      <c r="E136" s="27">
        <f>SUM(E127:E135)</f>
        <v>80108413</v>
      </c>
      <c r="F136" s="27">
        <f t="shared" ref="F136" si="16">SUM(F127:F135)</f>
        <v>49191350.730000004</v>
      </c>
      <c r="G136" s="84">
        <f t="shared" si="15"/>
        <v>0.6140597334015343</v>
      </c>
      <c r="H136" s="1"/>
      <c r="I136" s="1"/>
    </row>
    <row r="137" spans="1:9" s="2" customFormat="1" ht="13.5" customHeight="1" x14ac:dyDescent="0.2">
      <c r="A137" s="1"/>
      <c r="B137" s="1"/>
      <c r="C137" s="1"/>
      <c r="D137" s="91"/>
      <c r="E137" s="91"/>
      <c r="F137" s="6"/>
      <c r="G137" s="75"/>
      <c r="H137" s="1"/>
      <c r="I137" s="1"/>
    </row>
    <row r="138" spans="1:9" s="41" customFormat="1" ht="13.5" customHeight="1" x14ac:dyDescent="0.2">
      <c r="A138" s="18"/>
      <c r="B138" s="18"/>
      <c r="C138" s="18"/>
      <c r="D138" s="89" t="s">
        <v>235</v>
      </c>
      <c r="E138" s="89" t="s">
        <v>57</v>
      </c>
      <c r="F138" s="36"/>
      <c r="G138" s="80"/>
      <c r="H138" s="18"/>
      <c r="I138" s="18"/>
    </row>
    <row r="139" spans="1:9" s="2" customFormat="1" ht="13.5" customHeight="1" x14ac:dyDescent="0.2">
      <c r="A139" s="8" t="s">
        <v>236</v>
      </c>
      <c r="B139" s="23" t="s">
        <v>59</v>
      </c>
      <c r="C139" s="23" t="s">
        <v>197</v>
      </c>
      <c r="D139" s="30" t="s">
        <v>237</v>
      </c>
      <c r="E139" s="25">
        <v>8000000</v>
      </c>
      <c r="F139" s="11">
        <f>1033713.13+2536348.51+304644.04</f>
        <v>3874705.6799999997</v>
      </c>
      <c r="G139" s="69">
        <f>+F139/E139</f>
        <v>0.48433820999999994</v>
      </c>
      <c r="H139" s="1"/>
      <c r="I139" s="1"/>
    </row>
    <row r="140" spans="1:9" s="1" customFormat="1" ht="13.5" customHeight="1" x14ac:dyDescent="0.2">
      <c r="A140" s="8" t="s">
        <v>238</v>
      </c>
      <c r="B140" s="23" t="s">
        <v>59</v>
      </c>
      <c r="C140" s="23" t="s">
        <v>197</v>
      </c>
      <c r="D140" s="30" t="s">
        <v>239</v>
      </c>
      <c r="E140" s="25">
        <v>5000000</v>
      </c>
      <c r="F140" s="11">
        <v>1585631.24</v>
      </c>
      <c r="G140" s="69">
        <f>+F140/E140</f>
        <v>0.317126248</v>
      </c>
    </row>
    <row r="141" spans="1:9" s="1" customFormat="1" ht="13.5" customHeight="1" x14ac:dyDescent="0.2">
      <c r="A141" s="2"/>
      <c r="B141" s="2"/>
      <c r="C141" s="2"/>
      <c r="D141" s="26" t="s">
        <v>234</v>
      </c>
      <c r="E141" s="27">
        <f>SUM(E139:E140)</f>
        <v>13000000</v>
      </c>
      <c r="F141" s="27">
        <f t="shared" ref="F141" si="17">SUM(F139:F140)</f>
        <v>5460336.9199999999</v>
      </c>
      <c r="G141" s="84">
        <f>+F141/E141</f>
        <v>0.42002591692307689</v>
      </c>
    </row>
    <row r="142" spans="1:9" s="1" customFormat="1" ht="53.25" customHeight="1" x14ac:dyDescent="0.2">
      <c r="A142" s="3" t="s">
        <v>4</v>
      </c>
      <c r="B142" s="3" t="s">
        <v>5</v>
      </c>
      <c r="C142" s="3" t="s">
        <v>6</v>
      </c>
      <c r="D142" s="71" t="s">
        <v>7</v>
      </c>
      <c r="E142" s="71" t="s">
        <v>8</v>
      </c>
      <c r="F142" s="4" t="s">
        <v>290</v>
      </c>
      <c r="G142" s="65" t="s">
        <v>9</v>
      </c>
    </row>
    <row r="143" spans="1:9" s="1" customFormat="1" ht="13.5" customHeight="1" x14ac:dyDescent="0.2">
      <c r="A143" s="22" t="s">
        <v>55</v>
      </c>
      <c r="B143" s="22"/>
      <c r="C143" s="22"/>
      <c r="D143" s="22"/>
      <c r="E143" s="22"/>
      <c r="F143" s="5"/>
      <c r="G143" s="77"/>
    </row>
    <row r="144" spans="1:9" s="41" customFormat="1" ht="13.5" customHeight="1" x14ac:dyDescent="0.2">
      <c r="A144" s="18"/>
      <c r="B144" s="18"/>
      <c r="C144" s="18"/>
      <c r="D144" s="42"/>
      <c r="E144" s="42"/>
      <c r="F144" s="36"/>
      <c r="G144" s="80"/>
      <c r="H144" s="18"/>
      <c r="I144" s="18"/>
    </row>
    <row r="145" spans="1:9" s="2" customFormat="1" ht="13.5" customHeight="1" x14ac:dyDescent="0.2">
      <c r="A145" s="1"/>
      <c r="B145" s="1"/>
      <c r="C145" s="1"/>
      <c r="D145" s="92" t="s">
        <v>240</v>
      </c>
      <c r="E145" s="92" t="s">
        <v>57</v>
      </c>
      <c r="F145" s="6"/>
      <c r="G145" s="75"/>
      <c r="H145" s="1"/>
      <c r="I145" s="1"/>
    </row>
    <row r="146" spans="1:9" s="2" customFormat="1" ht="13.5" customHeight="1" x14ac:dyDescent="0.2">
      <c r="A146" s="7" t="s">
        <v>241</v>
      </c>
      <c r="B146" s="23" t="s">
        <v>59</v>
      </c>
      <c r="C146" s="23" t="s">
        <v>228</v>
      </c>
      <c r="D146" s="30" t="s">
        <v>242</v>
      </c>
      <c r="E146" s="25">
        <v>3000000</v>
      </c>
      <c r="F146" s="11">
        <v>375028.64</v>
      </c>
      <c r="G146" s="69">
        <f>+F146/E146</f>
        <v>0.12500954666666667</v>
      </c>
      <c r="H146" s="1"/>
      <c r="I146" s="1"/>
    </row>
    <row r="147" spans="1:9" s="2" customFormat="1" ht="13.5" customHeight="1" x14ac:dyDescent="0.2">
      <c r="A147" s="7" t="s">
        <v>243</v>
      </c>
      <c r="B147" s="23" t="s">
        <v>59</v>
      </c>
      <c r="C147" s="23" t="s">
        <v>225</v>
      </c>
      <c r="D147" s="30" t="s">
        <v>244</v>
      </c>
      <c r="E147" s="25">
        <f>3000000+3960000</f>
        <v>6960000</v>
      </c>
      <c r="F147" s="11">
        <v>5350454.03</v>
      </c>
      <c r="G147" s="69">
        <f>+F147/E147</f>
        <v>0.76874339511494261</v>
      </c>
      <c r="H147" s="1"/>
      <c r="I147" s="1"/>
    </row>
    <row r="148" spans="1:9" s="2" customFormat="1" ht="13.5" customHeight="1" x14ac:dyDescent="0.2">
      <c r="A148" s="7" t="s">
        <v>245</v>
      </c>
      <c r="B148" s="23" t="s">
        <v>59</v>
      </c>
      <c r="C148" s="23" t="s">
        <v>246</v>
      </c>
      <c r="D148" s="24" t="s">
        <v>247</v>
      </c>
      <c r="E148" s="25">
        <f>2000000+1231587</f>
        <v>3231587</v>
      </c>
      <c r="F148" s="11">
        <v>45523.97</v>
      </c>
      <c r="G148" s="69">
        <f>+F148/E148</f>
        <v>1.4087186883719981E-2</v>
      </c>
      <c r="H148" s="1"/>
      <c r="I148" s="1"/>
    </row>
    <row r="149" spans="1:9" s="2" customFormat="1" ht="13.5" customHeight="1" x14ac:dyDescent="0.2">
      <c r="D149" s="26" t="s">
        <v>248</v>
      </c>
      <c r="E149" s="27">
        <f>SUM(E146:E148)</f>
        <v>13191587</v>
      </c>
      <c r="F149" s="27">
        <f t="shared" ref="F149" si="18">SUM(F146:F148)</f>
        <v>5771006.6399999997</v>
      </c>
      <c r="G149" s="84">
        <f>+F149/E149</f>
        <v>0.43747629758269413</v>
      </c>
      <c r="H149" s="1"/>
      <c r="I149" s="1"/>
    </row>
    <row r="150" spans="1:9" s="2" customFormat="1" ht="13.5" customHeight="1" x14ac:dyDescent="0.2">
      <c r="A150" s="18"/>
      <c r="B150" s="18"/>
      <c r="C150" s="18"/>
      <c r="D150" s="91"/>
      <c r="E150" s="91"/>
      <c r="F150" s="6"/>
      <c r="G150" s="75"/>
      <c r="H150" s="1"/>
      <c r="I150" s="1"/>
    </row>
    <row r="151" spans="1:9" s="2" customFormat="1" ht="13.5" customHeight="1" x14ac:dyDescent="0.2">
      <c r="A151" s="18"/>
      <c r="B151" s="18"/>
      <c r="C151" s="18"/>
      <c r="D151" s="89" t="s">
        <v>249</v>
      </c>
      <c r="E151" s="89" t="s">
        <v>57</v>
      </c>
      <c r="F151" s="6"/>
      <c r="G151" s="75"/>
      <c r="H151" s="1"/>
      <c r="I151" s="1"/>
    </row>
    <row r="152" spans="1:9" s="2" customFormat="1" ht="13.5" customHeight="1" x14ac:dyDescent="0.2">
      <c r="A152" s="8" t="s">
        <v>250</v>
      </c>
      <c r="B152" s="23" t="s">
        <v>81</v>
      </c>
      <c r="C152" s="23" t="s">
        <v>208</v>
      </c>
      <c r="D152" s="43" t="s">
        <v>251</v>
      </c>
      <c r="E152" s="25">
        <v>5424000</v>
      </c>
      <c r="F152" s="11">
        <f>7091234.87/1.25</f>
        <v>5672987.8959999997</v>
      </c>
      <c r="G152" s="69">
        <f t="shared" ref="G152:G158" si="19">+F152/E152</f>
        <v>1.0459048480825959</v>
      </c>
      <c r="H152" s="1"/>
      <c r="I152" s="1"/>
    </row>
    <row r="153" spans="1:9" s="2" customFormat="1" ht="13.5" customHeight="1" x14ac:dyDescent="0.2">
      <c r="A153" s="8" t="s">
        <v>252</v>
      </c>
      <c r="B153" s="23" t="s">
        <v>59</v>
      </c>
      <c r="C153" s="23" t="s">
        <v>197</v>
      </c>
      <c r="D153" s="43" t="s">
        <v>253</v>
      </c>
      <c r="E153" s="25">
        <v>1695000</v>
      </c>
      <c r="F153" s="11">
        <v>982211.59</v>
      </c>
      <c r="G153" s="69">
        <f t="shared" si="19"/>
        <v>0.57947586430678466</v>
      </c>
      <c r="H153" s="1"/>
      <c r="I153" s="1"/>
    </row>
    <row r="154" spans="1:9" s="1" customFormat="1" ht="13.5" customHeight="1" x14ac:dyDescent="0.2">
      <c r="A154" s="8" t="s">
        <v>254</v>
      </c>
      <c r="B154" s="23" t="s">
        <v>59</v>
      </c>
      <c r="C154" s="23" t="s">
        <v>228</v>
      </c>
      <c r="D154" s="43" t="s">
        <v>255</v>
      </c>
      <c r="E154" s="25">
        <v>400000</v>
      </c>
      <c r="F154" s="11">
        <v>141883.70000000001</v>
      </c>
      <c r="G154" s="69">
        <f t="shared" si="19"/>
        <v>0.35470925000000003</v>
      </c>
    </row>
    <row r="155" spans="1:9" s="1" customFormat="1" ht="13.5" customHeight="1" x14ac:dyDescent="0.2">
      <c r="A155" s="8" t="s">
        <v>256</v>
      </c>
      <c r="B155" s="23" t="s">
        <v>59</v>
      </c>
      <c r="C155" s="23" t="s">
        <v>163</v>
      </c>
      <c r="D155" s="43" t="s">
        <v>257</v>
      </c>
      <c r="E155" s="25">
        <v>11186999.999999998</v>
      </c>
      <c r="F155" s="11">
        <v>11749448.890000001</v>
      </c>
      <c r="G155" s="69">
        <f t="shared" si="19"/>
        <v>1.0502770081344419</v>
      </c>
    </row>
    <row r="156" spans="1:9" s="1" customFormat="1" ht="13.5" customHeight="1" x14ac:dyDescent="0.2">
      <c r="A156" s="8" t="s">
        <v>252</v>
      </c>
      <c r="B156" s="23" t="s">
        <v>59</v>
      </c>
      <c r="C156" s="23" t="s">
        <v>197</v>
      </c>
      <c r="D156" s="43" t="s">
        <v>258</v>
      </c>
      <c r="E156" s="25">
        <v>2000000</v>
      </c>
      <c r="F156" s="11">
        <v>0</v>
      </c>
      <c r="G156" s="69">
        <f t="shared" si="19"/>
        <v>0</v>
      </c>
    </row>
    <row r="157" spans="1:9" s="1" customFormat="1" ht="13.5" customHeight="1" x14ac:dyDescent="0.2">
      <c r="A157" s="8" t="s">
        <v>252</v>
      </c>
      <c r="B157" s="23" t="s">
        <v>59</v>
      </c>
      <c r="C157" s="23" t="s">
        <v>197</v>
      </c>
      <c r="D157" s="43" t="s">
        <v>259</v>
      </c>
      <c r="E157" s="25">
        <v>3000000</v>
      </c>
      <c r="F157" s="11">
        <v>0</v>
      </c>
      <c r="G157" s="69">
        <f t="shared" si="19"/>
        <v>0</v>
      </c>
    </row>
    <row r="158" spans="1:9" s="1" customFormat="1" ht="13.5" customHeight="1" x14ac:dyDescent="0.2">
      <c r="B158" s="18"/>
      <c r="C158" s="18"/>
      <c r="D158" s="26" t="s">
        <v>260</v>
      </c>
      <c r="E158" s="27">
        <f>SUM(E152:E157)</f>
        <v>23706000</v>
      </c>
      <c r="F158" s="27">
        <f t="shared" ref="F158" si="20">SUM(F152:F157)</f>
        <v>18546532.076000001</v>
      </c>
      <c r="G158" s="84">
        <f t="shared" si="19"/>
        <v>0.78235603121572606</v>
      </c>
    </row>
    <row r="159" spans="1:9" s="1" customFormat="1" ht="13.5" customHeight="1" x14ac:dyDescent="0.2">
      <c r="D159" s="91"/>
      <c r="E159" s="91"/>
      <c r="F159" s="6"/>
      <c r="G159" s="75"/>
    </row>
    <row r="160" spans="1:9" s="18" customFormat="1" ht="13.5" customHeight="1" x14ac:dyDescent="0.2">
      <c r="D160" s="89" t="s">
        <v>261</v>
      </c>
      <c r="E160" s="89" t="s">
        <v>57</v>
      </c>
      <c r="F160" s="36"/>
      <c r="G160" s="80"/>
    </row>
    <row r="161" spans="1:9" s="1" customFormat="1" ht="13.5" customHeight="1" x14ac:dyDescent="0.2">
      <c r="A161" s="8" t="s">
        <v>262</v>
      </c>
      <c r="B161" s="23" t="s">
        <v>59</v>
      </c>
      <c r="C161" s="23" t="s">
        <v>197</v>
      </c>
      <c r="D161" s="30" t="s">
        <v>211</v>
      </c>
      <c r="E161" s="25">
        <v>3842000</v>
      </c>
      <c r="F161" s="11">
        <f>1030802.62+93320</f>
        <v>1124122.6200000001</v>
      </c>
      <c r="G161" s="69">
        <f>+F161/E161</f>
        <v>0.29258787610619474</v>
      </c>
    </row>
    <row r="162" spans="1:9" s="2" customFormat="1" ht="13.5" customHeight="1" x14ac:dyDescent="0.2">
      <c r="A162" s="8" t="s">
        <v>262</v>
      </c>
      <c r="B162" s="23" t="s">
        <v>59</v>
      </c>
      <c r="C162" s="23" t="s">
        <v>69</v>
      </c>
      <c r="D162" s="30" t="s">
        <v>263</v>
      </c>
      <c r="E162" s="25">
        <v>1130000</v>
      </c>
      <c r="F162" s="11">
        <v>0</v>
      </c>
      <c r="G162" s="69">
        <f>+F162/E162</f>
        <v>0</v>
      </c>
      <c r="H162" s="1"/>
      <c r="I162" s="1"/>
    </row>
    <row r="163" spans="1:9" s="2" customFormat="1" ht="13.5" customHeight="1" x14ac:dyDescent="0.2">
      <c r="A163" s="8" t="s">
        <v>262</v>
      </c>
      <c r="B163" s="23" t="s">
        <v>59</v>
      </c>
      <c r="C163" s="23" t="s">
        <v>163</v>
      </c>
      <c r="D163" s="30" t="s">
        <v>264</v>
      </c>
      <c r="E163" s="25">
        <v>1130000</v>
      </c>
      <c r="F163" s="11">
        <v>0</v>
      </c>
      <c r="G163" s="69">
        <f>+F163/E163</f>
        <v>0</v>
      </c>
      <c r="H163" s="1"/>
      <c r="I163" s="1"/>
    </row>
    <row r="164" spans="1:9" s="2" customFormat="1" ht="13.5" customHeight="1" x14ac:dyDescent="0.2">
      <c r="A164" s="8" t="s">
        <v>262</v>
      </c>
      <c r="B164" s="23" t="s">
        <v>59</v>
      </c>
      <c r="C164" s="23" t="s">
        <v>174</v>
      </c>
      <c r="D164" s="30" t="s">
        <v>265</v>
      </c>
      <c r="E164" s="25">
        <v>7910000</v>
      </c>
      <c r="F164" s="11">
        <v>7891816</v>
      </c>
      <c r="G164" s="69">
        <f>+F164/E164</f>
        <v>0.99770113780025282</v>
      </c>
      <c r="H164" s="1"/>
      <c r="I164" s="1"/>
    </row>
    <row r="165" spans="1:9" s="1" customFormat="1" ht="13.5" customHeight="1" x14ac:dyDescent="0.2">
      <c r="D165" s="26" t="s">
        <v>260</v>
      </c>
      <c r="E165" s="27">
        <f>SUM(E161:E164)</f>
        <v>14012000</v>
      </c>
      <c r="F165" s="27">
        <f t="shared" ref="F165" si="21">SUM(F161:F164)</f>
        <v>9015938.620000001</v>
      </c>
      <c r="G165" s="84">
        <f>+F165/E165</f>
        <v>0.64344409220668008</v>
      </c>
    </row>
    <row r="166" spans="1:9" s="1" customFormat="1" ht="13.5" customHeight="1" x14ac:dyDescent="0.2">
      <c r="D166" s="91"/>
      <c r="E166" s="91"/>
      <c r="F166" s="6"/>
      <c r="G166" s="75"/>
    </row>
    <row r="167" spans="1:9" s="1" customFormat="1" ht="13.5" customHeight="1" x14ac:dyDescent="0.2">
      <c r="D167" s="89" t="s">
        <v>266</v>
      </c>
      <c r="E167" s="89" t="s">
        <v>57</v>
      </c>
      <c r="F167" s="6"/>
      <c r="G167" s="75"/>
    </row>
    <row r="168" spans="1:9" s="2" customFormat="1" ht="13.5" customHeight="1" x14ac:dyDescent="0.2">
      <c r="A168" s="8" t="s">
        <v>267</v>
      </c>
      <c r="B168" s="29" t="s">
        <v>268</v>
      </c>
      <c r="C168" s="29" t="s">
        <v>269</v>
      </c>
      <c r="D168" s="30" t="s">
        <v>270</v>
      </c>
      <c r="E168" s="25">
        <f>10100000+3730000</f>
        <v>13830000</v>
      </c>
      <c r="F168" s="11">
        <v>8336072.2000000002</v>
      </c>
      <c r="G168" s="69">
        <f>+F168/E168</f>
        <v>0.60275287057122195</v>
      </c>
      <c r="H168" s="1"/>
      <c r="I168" s="1"/>
    </row>
    <row r="169" spans="1:9" s="1" customFormat="1" ht="13.5" customHeight="1" x14ac:dyDescent="0.2">
      <c r="A169" s="8" t="s">
        <v>271</v>
      </c>
      <c r="B169" s="23" t="s">
        <v>272</v>
      </c>
      <c r="C169" s="29" t="s">
        <v>273</v>
      </c>
      <c r="D169" s="30" t="s">
        <v>274</v>
      </c>
      <c r="E169" s="25">
        <f>29310000+2413000</f>
        <v>31723000</v>
      </c>
      <c r="F169" s="11">
        <v>31723000</v>
      </c>
      <c r="G169" s="69">
        <f>+F169/E169</f>
        <v>1</v>
      </c>
    </row>
    <row r="170" spans="1:9" s="1" customFormat="1" ht="13.5" customHeight="1" x14ac:dyDescent="0.2">
      <c r="A170" s="8" t="s">
        <v>275</v>
      </c>
      <c r="B170" s="23" t="s">
        <v>272</v>
      </c>
      <c r="C170" s="29" t="s">
        <v>273</v>
      </c>
      <c r="D170" s="30" t="s">
        <v>276</v>
      </c>
      <c r="E170" s="25">
        <v>20000000</v>
      </c>
      <c r="F170" s="11">
        <v>20000000</v>
      </c>
      <c r="G170" s="69">
        <f>+F170/E170</f>
        <v>1</v>
      </c>
    </row>
    <row r="171" spans="1:9" s="1" customFormat="1" ht="13.5" customHeight="1" x14ac:dyDescent="0.2">
      <c r="A171" s="8" t="s">
        <v>277</v>
      </c>
      <c r="B171" s="29" t="s">
        <v>268</v>
      </c>
      <c r="C171" s="29" t="s">
        <v>278</v>
      </c>
      <c r="D171" s="30" t="s">
        <v>279</v>
      </c>
      <c r="E171" s="25">
        <f>2745000+185000+242000+300000+248000+3000000</f>
        <v>6720000</v>
      </c>
      <c r="F171" s="11">
        <f>1307806.62+2891234.51</f>
        <v>4199041.13</v>
      </c>
      <c r="G171" s="69">
        <f>+F171/E171</f>
        <v>0.62485731101190478</v>
      </c>
    </row>
    <row r="172" spans="1:9" s="1" customFormat="1" ht="13.5" customHeight="1" x14ac:dyDescent="0.2">
      <c r="D172" s="26" t="s">
        <v>280</v>
      </c>
      <c r="E172" s="27">
        <f>SUM(E168:E171)</f>
        <v>72273000</v>
      </c>
      <c r="F172" s="27">
        <f t="shared" ref="F172" si="22">SUM(F168:F171)</f>
        <v>64258113.330000006</v>
      </c>
      <c r="G172" s="84">
        <f>+F172/E172</f>
        <v>0.88910261549956426</v>
      </c>
    </row>
    <row r="173" spans="1:9" ht="13.5" customHeight="1" x14ac:dyDescent="0.25">
      <c r="A173" s="1"/>
      <c r="B173" s="1"/>
      <c r="C173" s="1"/>
      <c r="D173" s="91"/>
      <c r="E173" s="91"/>
      <c r="F173" s="46"/>
    </row>
    <row r="174" spans="1:9" ht="13.5" customHeight="1" x14ac:dyDescent="0.25">
      <c r="A174" s="1"/>
      <c r="B174" s="1"/>
      <c r="C174" s="1"/>
      <c r="D174" s="89" t="s">
        <v>281</v>
      </c>
      <c r="E174" s="89" t="s">
        <v>57</v>
      </c>
      <c r="F174" s="46"/>
    </row>
    <row r="175" spans="1:9" x14ac:dyDescent="0.25">
      <c r="A175" s="8" t="s">
        <v>282</v>
      </c>
      <c r="B175" s="29" t="s">
        <v>89</v>
      </c>
      <c r="C175" s="29" t="s">
        <v>283</v>
      </c>
      <c r="D175" s="30" t="s">
        <v>281</v>
      </c>
      <c r="E175" s="25">
        <v>10000000</v>
      </c>
      <c r="F175" s="11">
        <v>23359360</v>
      </c>
      <c r="G175" s="69">
        <f>+F175/E175</f>
        <v>2.3359359999999998</v>
      </c>
    </row>
    <row r="176" spans="1:9" ht="13.5" customHeight="1" x14ac:dyDescent="0.25">
      <c r="A176" s="1"/>
      <c r="B176" s="1"/>
      <c r="C176" s="1"/>
      <c r="D176" s="26" t="s">
        <v>284</v>
      </c>
      <c r="E176" s="27">
        <f>SUM(E175)</f>
        <v>10000000</v>
      </c>
      <c r="F176" s="27">
        <f t="shared" ref="F176:G176" si="23">SUM(F175)</f>
        <v>23359360</v>
      </c>
      <c r="G176" s="84">
        <f t="shared" si="23"/>
        <v>2.3359359999999998</v>
      </c>
    </row>
    <row r="177" spans="1:8" ht="13.5" customHeight="1" x14ac:dyDescent="0.25">
      <c r="A177" s="1"/>
      <c r="B177" s="1"/>
      <c r="C177" s="1"/>
      <c r="D177" s="91"/>
      <c r="E177" s="91"/>
      <c r="F177" s="46"/>
    </row>
    <row r="178" spans="1:8" ht="13.5" customHeight="1" x14ac:dyDescent="0.25">
      <c r="A178" s="1"/>
      <c r="B178" s="1"/>
      <c r="C178" s="1"/>
      <c r="D178" s="89" t="s">
        <v>285</v>
      </c>
      <c r="E178" s="89" t="s">
        <v>57</v>
      </c>
      <c r="F178" s="46"/>
    </row>
    <row r="179" spans="1:8" ht="17.25" customHeight="1" x14ac:dyDescent="0.25">
      <c r="A179" s="8" t="s">
        <v>286</v>
      </c>
      <c r="B179" s="23" t="s">
        <v>59</v>
      </c>
      <c r="C179" s="23" t="s">
        <v>225</v>
      </c>
      <c r="D179" s="30" t="s">
        <v>287</v>
      </c>
      <c r="E179" s="25">
        <v>5250000</v>
      </c>
      <c r="F179" s="11">
        <f>1000949.39+6381.21+18925.87+490356.27+16459.4+46328.55+11307.24+5869.93+22780.88+5309.49+45537.75+16076.91+731325.11+51020.36+4817.87+6371.38+61737.51</f>
        <v>2541555.1199999992</v>
      </c>
      <c r="G179" s="69">
        <f>+F179/E179</f>
        <v>0.48410573714285698</v>
      </c>
    </row>
    <row r="180" spans="1:8" x14ac:dyDescent="0.25">
      <c r="A180" s="49"/>
      <c r="B180" s="49"/>
      <c r="C180" s="49"/>
      <c r="D180" s="26" t="s">
        <v>288</v>
      </c>
      <c r="E180" s="27">
        <f>+E179</f>
        <v>5250000</v>
      </c>
      <c r="F180" s="27">
        <f t="shared" ref="F180:G180" si="24">+F179</f>
        <v>2541555.1199999992</v>
      </c>
      <c r="G180" s="84">
        <f t="shared" si="24"/>
        <v>0.48410573714285698</v>
      </c>
    </row>
    <row r="181" spans="1:8" x14ac:dyDescent="0.25">
      <c r="A181" s="49"/>
      <c r="B181" s="49"/>
      <c r="C181" s="50"/>
      <c r="D181" s="18"/>
      <c r="E181" s="38"/>
      <c r="F181" s="52"/>
      <c r="G181" s="82"/>
    </row>
    <row r="182" spans="1:8" x14ac:dyDescent="0.25">
      <c r="D182" s="47" t="s">
        <v>289</v>
      </c>
      <c r="E182" s="48">
        <f>+E180+E176+E172+E165+E158+E149+E141+E136+E124+E119+E115+E109+E102+E68+E57+E52+E47+E42</f>
        <v>1438941500</v>
      </c>
      <c r="F182" s="48">
        <f>+F180+F176+F172+F165+F158+F149+F141+F136+F124+F119+F115+F109+F102+F68+F57+F52+F47+F42</f>
        <v>927044043.83600008</v>
      </c>
      <c r="G182" s="85">
        <f>+F182/E182</f>
        <v>0.64425415754288839</v>
      </c>
    </row>
    <row r="183" spans="1:8" x14ac:dyDescent="0.25">
      <c r="C183" s="51"/>
      <c r="D183" s="39"/>
      <c r="E183" s="53"/>
      <c r="F183" s="52"/>
      <c r="G183" s="82"/>
    </row>
    <row r="184" spans="1:8" x14ac:dyDescent="0.25">
      <c r="D184" s="47" t="s">
        <v>54</v>
      </c>
      <c r="E184" s="54">
        <f>+E36</f>
        <v>1438941500</v>
      </c>
      <c r="F184" s="54">
        <f t="shared" ref="F184:G184" si="25">+F36</f>
        <v>1033813455.0899999</v>
      </c>
      <c r="G184" s="86">
        <f t="shared" si="25"/>
        <v>0.71845412415306664</v>
      </c>
    </row>
    <row r="185" spans="1:8" x14ac:dyDescent="0.25">
      <c r="D185" s="47" t="s">
        <v>289</v>
      </c>
      <c r="E185" s="54">
        <f>+E182</f>
        <v>1438941500</v>
      </c>
      <c r="F185" s="54">
        <f t="shared" ref="F185" si="26">+F182</f>
        <v>927044043.83600008</v>
      </c>
      <c r="G185" s="86">
        <f>+G182</f>
        <v>0.64425415754288839</v>
      </c>
    </row>
    <row r="186" spans="1:8" x14ac:dyDescent="0.25">
      <c r="C186" s="51"/>
      <c r="D186" s="50"/>
      <c r="E186" s="55"/>
      <c r="F186" s="52"/>
    </row>
    <row r="187" spans="1:8" x14ac:dyDescent="0.25">
      <c r="D187" s="56" t="s">
        <v>291</v>
      </c>
      <c r="E187" s="57">
        <f>+E184-E185</f>
        <v>0</v>
      </c>
      <c r="F187" s="58">
        <f>+F184-F185</f>
        <v>106769411.25399983</v>
      </c>
      <c r="G187" s="83"/>
      <c r="H187" s="51"/>
    </row>
    <row r="188" spans="1:8" x14ac:dyDescent="0.25">
      <c r="F188" s="46"/>
    </row>
    <row r="189" spans="1:8" x14ac:dyDescent="0.25">
      <c r="E189" s="60"/>
      <c r="F189" s="46"/>
    </row>
    <row r="190" spans="1:8" x14ac:dyDescent="0.25">
      <c r="D190" s="51"/>
      <c r="E190" s="61"/>
    </row>
    <row r="191" spans="1:8" x14ac:dyDescent="0.25">
      <c r="D191" s="51"/>
      <c r="E191" s="62"/>
    </row>
    <row r="192" spans="1:8" x14ac:dyDescent="0.25">
      <c r="D192" s="51"/>
      <c r="E192" s="61"/>
    </row>
    <row r="193" spans="4:5" x14ac:dyDescent="0.25">
      <c r="D193" s="51"/>
      <c r="E193" s="61"/>
    </row>
    <row r="194" spans="4:5" x14ac:dyDescent="0.25">
      <c r="D194" s="51"/>
      <c r="E194" s="61"/>
    </row>
    <row r="195" spans="4:5" x14ac:dyDescent="0.25">
      <c r="E195" s="63"/>
    </row>
    <row r="196" spans="4:5" x14ac:dyDescent="0.25">
      <c r="E196" s="60"/>
    </row>
  </sheetData>
  <mergeCells count="41">
    <mergeCell ref="A1:G1"/>
    <mergeCell ref="A2:G2"/>
    <mergeCell ref="A3:G3"/>
    <mergeCell ref="A4:G4"/>
    <mergeCell ref="A6:E6"/>
    <mergeCell ref="D24:E24"/>
    <mergeCell ref="D28:E28"/>
    <mergeCell ref="D40:E40"/>
    <mergeCell ref="D9:E9"/>
    <mergeCell ref="D15:E15"/>
    <mergeCell ref="D105:E105"/>
    <mergeCell ref="D106:E106"/>
    <mergeCell ref="D59:E59"/>
    <mergeCell ref="D71:E71"/>
    <mergeCell ref="D72:E72"/>
    <mergeCell ref="D145:E145"/>
    <mergeCell ref="D137:E137"/>
    <mergeCell ref="D138:E138"/>
    <mergeCell ref="D111:E111"/>
    <mergeCell ref="D116:E116"/>
    <mergeCell ref="D120:E120"/>
    <mergeCell ref="D178:E178"/>
    <mergeCell ref="D159:E159"/>
    <mergeCell ref="D160:E160"/>
    <mergeCell ref="D150:E150"/>
    <mergeCell ref="D151:E151"/>
    <mergeCell ref="D166:E166"/>
    <mergeCell ref="D167:E167"/>
    <mergeCell ref="D173:E173"/>
    <mergeCell ref="D174:E174"/>
    <mergeCell ref="D177:E177"/>
    <mergeCell ref="D44:E44"/>
    <mergeCell ref="D48:E48"/>
    <mergeCell ref="D49:E49"/>
    <mergeCell ref="D54:E54"/>
    <mergeCell ref="D58:E58"/>
    <mergeCell ref="D110:E110"/>
    <mergeCell ref="D117:E117"/>
    <mergeCell ref="D121:E121"/>
    <mergeCell ref="D125:E125"/>
    <mergeCell ref="D126:E1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Liquidación Presupuestaria 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Ivannia Coto Garro</dc:creator>
  <cp:lastModifiedBy>Ivannia Coto Garro</cp:lastModifiedBy>
  <cp:lastPrinted>2021-03-15T22:55:05Z</cp:lastPrinted>
  <dcterms:created xsi:type="dcterms:W3CDTF">2021-03-10T22:42:46Z</dcterms:created>
  <dcterms:modified xsi:type="dcterms:W3CDTF">2021-10-08T23:21:38Z</dcterms:modified>
</cp:coreProperties>
</file>