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700" windowHeight="7620"/>
  </bookViews>
  <sheets>
    <sheet name="Liquidación Presupuetaria 2019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8" i="1" l="1"/>
  <c r="D207" i="1"/>
  <c r="C207" i="1"/>
  <c r="D206" i="1"/>
  <c r="C206" i="1"/>
  <c r="D204" i="1"/>
  <c r="C204" i="1"/>
  <c r="C29" i="1" l="1"/>
  <c r="C202" i="1"/>
  <c r="D201" i="1"/>
  <c r="D180" i="1"/>
  <c r="C180" i="1"/>
  <c r="D175" i="1"/>
  <c r="D174" i="1"/>
  <c r="C174" i="1"/>
  <c r="C176" i="1" s="1"/>
  <c r="D173" i="1"/>
  <c r="C169" i="1"/>
  <c r="D166" i="1"/>
  <c r="D170" i="1" s="1"/>
  <c r="C166" i="1"/>
  <c r="D161" i="1"/>
  <c r="C157" i="1"/>
  <c r="C161" i="1" s="1"/>
  <c r="D154" i="1"/>
  <c r="C154" i="1"/>
  <c r="D148" i="1"/>
  <c r="C145" i="1"/>
  <c r="C141" i="1"/>
  <c r="D139" i="1"/>
  <c r="C137" i="1"/>
  <c r="C136" i="1"/>
  <c r="D135" i="1"/>
  <c r="C135" i="1"/>
  <c r="C133" i="1"/>
  <c r="C132" i="1"/>
  <c r="D127" i="1"/>
  <c r="C127" i="1"/>
  <c r="D122" i="1"/>
  <c r="C122" i="1"/>
  <c r="C114" i="1"/>
  <c r="D111" i="1"/>
  <c r="D107" i="1"/>
  <c r="D108" i="1" s="1"/>
  <c r="C107" i="1"/>
  <c r="C106" i="1"/>
  <c r="C99" i="1"/>
  <c r="D98" i="1"/>
  <c r="D97" i="1"/>
  <c r="C96" i="1"/>
  <c r="C94" i="1"/>
  <c r="C93" i="1"/>
  <c r="C92" i="1"/>
  <c r="C91" i="1"/>
  <c r="D87" i="1"/>
  <c r="C87" i="1"/>
  <c r="D86" i="1"/>
  <c r="C86" i="1"/>
  <c r="D85" i="1"/>
  <c r="C85" i="1"/>
  <c r="C84" i="1"/>
  <c r="D83" i="1"/>
  <c r="C83" i="1"/>
  <c r="C82" i="1"/>
  <c r="C81" i="1"/>
  <c r="C76" i="1"/>
  <c r="C74" i="1"/>
  <c r="C73" i="1"/>
  <c r="C72" i="1"/>
  <c r="D64" i="1"/>
  <c r="D62" i="1"/>
  <c r="C62" i="1"/>
  <c r="D60" i="1"/>
  <c r="C60" i="1"/>
  <c r="C57" i="1"/>
  <c r="D56" i="1"/>
  <c r="D57" i="1" s="1"/>
  <c r="C54" i="1"/>
  <c r="D53" i="1"/>
  <c r="C49" i="1"/>
  <c r="D48" i="1"/>
  <c r="D50" i="1" s="1"/>
  <c r="C48" i="1"/>
  <c r="D44" i="1"/>
  <c r="D45" i="1" s="1"/>
  <c r="C44" i="1"/>
  <c r="D41" i="1"/>
  <c r="D102" i="1" s="1"/>
  <c r="D129" i="1" s="1"/>
  <c r="D163" i="1" s="1"/>
  <c r="C37" i="1"/>
  <c r="C38" i="1" s="1"/>
  <c r="D36" i="1"/>
  <c r="D33" i="1"/>
  <c r="D28" i="1"/>
  <c r="D27" i="1"/>
  <c r="D24" i="1"/>
  <c r="D23" i="1"/>
  <c r="D18" i="1"/>
  <c r="B11" i="1"/>
  <c r="D68" i="1" l="1"/>
  <c r="D142" i="1"/>
  <c r="C100" i="1"/>
  <c r="C142" i="1"/>
  <c r="D29" i="1"/>
  <c r="C170" i="1"/>
  <c r="D176" i="1"/>
  <c r="D37" i="1"/>
  <c r="C45" i="1"/>
  <c r="C50" i="1"/>
  <c r="D54" i="1"/>
  <c r="C68" i="1"/>
  <c r="C108" i="1"/>
  <c r="D114" i="1"/>
  <c r="D100" i="1"/>
  <c r="C148" i="1"/>
  <c r="D202" i="1"/>
  <c r="D38" i="1" l="1"/>
</calcChain>
</file>

<file path=xl/sharedStrings.xml><?xml version="1.0" encoding="utf-8"?>
<sst xmlns="http://schemas.openxmlformats.org/spreadsheetml/2006/main" count="184" uniqueCount="166">
  <si>
    <t>COLEGIO DE PROFESIONALES EN PSICOLOGÍA DE COSTA RICA</t>
  </si>
  <si>
    <t>PRESUPUESTO ORDINARIO ENERO 2019 - DICIEMBRE 2019</t>
  </si>
  <si>
    <t>LIQUIDACIÓN PRESUPUESTARIA AL 31 de Diciembre 2019</t>
  </si>
  <si>
    <t>(Expresado en Colones costarricenses)</t>
  </si>
  <si>
    <t xml:space="preserve">Base de Efectivo </t>
  </si>
  <si>
    <t xml:space="preserve">Cuenta Presupuestaria </t>
  </si>
  <si>
    <t>Monto Presupuestado 2019</t>
  </si>
  <si>
    <t>Ejecución al 31 Dic  2019</t>
  </si>
  <si>
    <t>INGRESOS ORDINARIOS</t>
  </si>
  <si>
    <t xml:space="preserve">MATERIAL DEL EJERCICIO PROFESIONAL </t>
  </si>
  <si>
    <t>CERTIFICADOS DE EVALUACIÓN DE IDONEIDAD MENTAL</t>
  </si>
  <si>
    <t xml:space="preserve">FORMULARIOS CENTROS DE CUIDO </t>
  </si>
  <si>
    <t xml:space="preserve">SERVICIOS AL COLEGIADO </t>
  </si>
  <si>
    <t>INCORPORACIONES</t>
  </si>
  <si>
    <t>REGISTRO DE POST GRADOS</t>
  </si>
  <si>
    <t>CONSTANCIAS Y CERTIFICACIONES</t>
  </si>
  <si>
    <t xml:space="preserve">VENTA DE IDENTIFICACIONES </t>
  </si>
  <si>
    <t>SELLO DE AGUA</t>
  </si>
  <si>
    <t>FOTOCOPIAS/CORREOS</t>
  </si>
  <si>
    <t>REINCORPORACIONES</t>
  </si>
  <si>
    <t xml:space="preserve">ACTUALIZACIÓN PROFESIONAL </t>
  </si>
  <si>
    <t xml:space="preserve">CURSOS  DE CAPACITACIÓN </t>
  </si>
  <si>
    <t>CIREC</t>
  </si>
  <si>
    <t xml:space="preserve">TOTAL INGRESOS ORDINARIOS </t>
  </si>
  <si>
    <t xml:space="preserve">OTROS INGRESOS </t>
  </si>
  <si>
    <t xml:space="preserve">ALQUILER DE INSTALACIONES </t>
  </si>
  <si>
    <t>INTERESES SOBRE INVERSIONES COLEGIO</t>
  </si>
  <si>
    <t>INTERESES SOBRE CUENTAS CORRIENTES</t>
  </si>
  <si>
    <t>INVERSIÓN PB EN TI</t>
  </si>
  <si>
    <t xml:space="preserve">INGRESO PROGRAMA DE BENEFICIOS </t>
  </si>
  <si>
    <t xml:space="preserve">INGRESO  SUBEJECUTORIA PERIODO ANTERIOR E INVERSIÓN </t>
  </si>
  <si>
    <t xml:space="preserve">TOTAL OTROS INGRESOS </t>
  </si>
  <si>
    <t xml:space="preserve">TOTAL INGRESOS </t>
  </si>
  <si>
    <t xml:space="preserve">EGRESOS </t>
  </si>
  <si>
    <t xml:space="preserve">COSTO MATERIAL EJERCICIO PROFESIONAL </t>
  </si>
  <si>
    <r>
      <t xml:space="preserve">CERTIFICADOS DE EVALUACIÓN DE IDONEIDAD MENTAL </t>
    </r>
    <r>
      <rPr>
        <i/>
        <sz val="9"/>
        <rFont val="Arial"/>
        <family val="2"/>
      </rPr>
      <t>Mod #1</t>
    </r>
  </si>
  <si>
    <t xml:space="preserve">TOTAL COSTO MATERIAL EJERCICIO PROFESIONAL </t>
  </si>
  <si>
    <t xml:space="preserve">SERVICIO AL COLEGIADO </t>
  </si>
  <si>
    <t xml:space="preserve">TOTAL SERVICIO AL COLEGIADO </t>
  </si>
  <si>
    <t>TALLERES CAPACITACIÓN</t>
  </si>
  <si>
    <t xml:space="preserve">TOTAL ACTUALIZACIÓN PROFESIONAL </t>
  </si>
  <si>
    <t>ACTIVIDADES GREMIALES</t>
  </si>
  <si>
    <t xml:space="preserve">TOTAL ACTIVIDADES GREMIALES </t>
  </si>
  <si>
    <t xml:space="preserve">RECURSOS HUMANOS </t>
  </si>
  <si>
    <r>
      <t xml:space="preserve">PLANILLA </t>
    </r>
    <r>
      <rPr>
        <i/>
        <sz val="9"/>
        <rFont val="Arial"/>
        <family val="2"/>
      </rPr>
      <t>Mod #2</t>
    </r>
  </si>
  <si>
    <t xml:space="preserve">GARANTIAS SOCIALES </t>
  </si>
  <si>
    <r>
      <t xml:space="preserve">PRESTACIONES LEGALES   </t>
    </r>
    <r>
      <rPr>
        <i/>
        <sz val="9"/>
        <rFont val="Arial"/>
        <family val="2"/>
      </rPr>
      <t>Mod #2</t>
    </r>
  </si>
  <si>
    <t>DÉCIMO TERCER MES</t>
  </si>
  <si>
    <t>CAPACITACIÓN AL PERSONAL</t>
  </si>
  <si>
    <t>UNIFORMES</t>
  </si>
  <si>
    <t>PÓLIZA RIESGOS DEL TRABAJO INS</t>
  </si>
  <si>
    <t>ACTIVIDAD ANUAL FUNCIONARIOS</t>
  </si>
  <si>
    <t xml:space="preserve">TOTAL  RECURSOS HUMANOS </t>
  </si>
  <si>
    <t xml:space="preserve">GASTOS FIJOS </t>
  </si>
  <si>
    <t>AGUA</t>
  </si>
  <si>
    <t>ELECTRICIDAD Mod #7  Mod #8  Mod #9</t>
  </si>
  <si>
    <t xml:space="preserve">TELÉFONO Mod #7 </t>
  </si>
  <si>
    <t>ICE (INTERNET Y AFINES)</t>
  </si>
  <si>
    <t>SERVICIO CORREOS Y AFINES</t>
  </si>
  <si>
    <r>
      <t xml:space="preserve">PÓLIZA DE INCENDIO </t>
    </r>
    <r>
      <rPr>
        <i/>
        <sz val="9"/>
        <rFont val="Arial"/>
        <family val="2"/>
      </rPr>
      <t xml:space="preserve"> Mod #4</t>
    </r>
  </si>
  <si>
    <t xml:space="preserve">PÓLIZA DE EQUIPO ELECTRONICO </t>
  </si>
  <si>
    <t>PÓLIZA DE DINERO Y VALORES EN TRANSITO</t>
  </si>
  <si>
    <t>PÓLIZA DE RESPONSABILIDAD CIVIL</t>
  </si>
  <si>
    <t>PÓLIZA FIDELIDAD</t>
  </si>
  <si>
    <t>MATERIALES  ARTÍCULOS DE LIMPIEZA Y COCINA Mod #3</t>
  </si>
  <si>
    <t>SERVICIOS DE MONITOREO Y SEGURIDAD</t>
  </si>
  <si>
    <t xml:space="preserve">OTROS SERVICIOS EVENTUALES Mod #10 </t>
  </si>
  <si>
    <t>MANTENIMIENTO DE MOBILIARIO Y EQUIPO Mod #3 Mod #4 Mod #5 Mod #6</t>
  </si>
  <si>
    <t xml:space="preserve">MANTENIMIENTO DE EDIFICIO Mod #5 </t>
  </si>
  <si>
    <t>PAPELERIA Y UTILES DE OFICINA Mod #3</t>
  </si>
  <si>
    <t>IMPUESTOS BIENES INMUEBLES Mod #6</t>
  </si>
  <si>
    <t>VIÁTICOS Y SERVICIOS DE TRANSPORTES</t>
  </si>
  <si>
    <t>GASTOS DE OPERACIÓN</t>
  </si>
  <si>
    <t xml:space="preserve">BOTIQUÍN </t>
  </si>
  <si>
    <t>TRAMITES LEGALES  Mod #8</t>
  </si>
  <si>
    <t xml:space="preserve">GUARDADOCUMENTOS Mod #10 </t>
  </si>
  <si>
    <t>SERVICIO DE LIMPIEZA Mod #9</t>
  </si>
  <si>
    <t xml:space="preserve">SERVICIO DE MANTENIMIENTO ZONAS VERDES  </t>
  </si>
  <si>
    <t xml:space="preserve">PROCESO RECLUTAMIENTO </t>
  </si>
  <si>
    <t>CONTRATOS PERMANENTES TI</t>
  </si>
  <si>
    <t xml:space="preserve">CONTRATOS MANTENIMIENTO </t>
  </si>
  <si>
    <t xml:space="preserve">COMUNICACIÓN E IMAGÉN </t>
  </si>
  <si>
    <t xml:space="preserve">CONVENIOS  INSTITUCIONALES </t>
  </si>
  <si>
    <t xml:space="preserve">TOTAL GASTOS FIJOS </t>
  </si>
  <si>
    <t xml:space="preserve"> </t>
  </si>
  <si>
    <t xml:space="preserve">GASTOS FINANCIEROS </t>
  </si>
  <si>
    <t>INTERESES POR INVERSIÓN EN IT</t>
  </si>
  <si>
    <t>COMISIONES Y OTROS CARGOS FINANCIEROS Mod #11</t>
  </si>
  <si>
    <t>CUOTA CRÉDITO  Mod #11</t>
  </si>
  <si>
    <t xml:space="preserve">TOTAL GASTOS FINANCIEROS </t>
  </si>
  <si>
    <t>FISCALÍA</t>
  </si>
  <si>
    <t xml:space="preserve">CAPACITACIÓN DE PERSONAL FISCALÍA </t>
  </si>
  <si>
    <t>PROYECTOS y ASESORÍAS DE INVESTIGACIÓN</t>
  </si>
  <si>
    <t>TOTAL PROGRAMA FISCALÍA</t>
  </si>
  <si>
    <t>VIÁTICOS</t>
  </si>
  <si>
    <t xml:space="preserve">CAPACITACIÓN DE PERSONAL </t>
  </si>
  <si>
    <t>DIVULGACIÓN</t>
  </si>
  <si>
    <t>MATERIALES</t>
  </si>
  <si>
    <t xml:space="preserve"> TOTAL PROGRAMA CIREC</t>
  </si>
  <si>
    <t>REVISTA COSTARRICENSE DE PSICOLOGÍA</t>
  </si>
  <si>
    <t>DIETAS REVISTA COSTARRICENSE DE PSICOLOGÍA</t>
  </si>
  <si>
    <t xml:space="preserve">GASTOS DE OPERACIÓN </t>
  </si>
  <si>
    <t xml:space="preserve">TOTAL DEL PROGRAMA REVISTA </t>
  </si>
  <si>
    <t>PROGRAMA  JUNTA DIRECTIVA</t>
  </si>
  <si>
    <t xml:space="preserve">ASESORIA LEGAL Mod #15 </t>
  </si>
  <si>
    <t xml:space="preserve">DEFENSA PROFESIONAL Mod #14 </t>
  </si>
  <si>
    <t>AUDITORIA EXTERNA</t>
  </si>
  <si>
    <t>ASESORÍA SERVICIOS Mod #14</t>
  </si>
  <si>
    <t xml:space="preserve">SERVICIOS ACTUALIZACIÓN DE INFORMACIÓN  Mod #14 Mod #15 </t>
  </si>
  <si>
    <t xml:space="preserve">FEDERACIONES Y ASOCIACIONES </t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</si>
  <si>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</si>
  <si>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</si>
  <si>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 xml:space="preserve">GASTOS DE REPRESENTACIÓN </t>
  </si>
  <si>
    <t>DIETAS JUNTA DIRECTIVA Mod #12</t>
  </si>
  <si>
    <t xml:space="preserve">TOTAL PROGRAMA JUNTA DIRECTIVA </t>
  </si>
  <si>
    <t xml:space="preserve">PROYECTOS JUNTA DIRECTIVA </t>
  </si>
  <si>
    <t xml:space="preserve">PROYECTOS </t>
  </si>
  <si>
    <t>PROYECCIÒN SOCIAL /RESPONSABILIDAD SOCIAL</t>
  </si>
  <si>
    <t xml:space="preserve">REGIONALIZACIÒN </t>
  </si>
  <si>
    <t xml:space="preserve">TOTAL PROGRAMA  PROYECTOS JUNTA DIRECTIVA 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</si>
  <si>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</si>
  <si>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</si>
  <si>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</si>
  <si>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</si>
  <si>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 xml:space="preserve">TOTAL PROGRAMA ASAMBLEAS </t>
  </si>
  <si>
    <t xml:space="preserve">PROGRAMA DE TRIBUNAL DE HONOR  </t>
  </si>
  <si>
    <t>DIETAS TRIBUNAL DE HONOR  Mod #12</t>
  </si>
  <si>
    <t>GASTOS DE OPERACIÓN TRIBUNAL DE HONOR</t>
  </si>
  <si>
    <t>PUBLICACIONES  TRIBUNAL DE HONOR</t>
  </si>
  <si>
    <t xml:space="preserve">ASESORÍA LEGAL TRIBUNAL DE HONOR   </t>
  </si>
  <si>
    <t>TOTAL PROGRAMA TRIBUNAL ELECTORAL</t>
  </si>
  <si>
    <t xml:space="preserve">PROGRAMA DE TRIBUNAL ELECTORAL </t>
  </si>
  <si>
    <t>GASTOS DE OPERACIÓN Mod #13</t>
  </si>
  <si>
    <t xml:space="preserve">PUBLICACIONES </t>
  </si>
  <si>
    <t>ASESORÍA LEGAL</t>
  </si>
  <si>
    <t>LOGISTICA VOTACIONES Mod #13</t>
  </si>
  <si>
    <t xml:space="preserve">PROGRAMA DE INVERSIÓN EN ACTIVOS </t>
  </si>
  <si>
    <t>EQUIPO TECNOLOGÍA DE INFORMACIÓN</t>
  </si>
  <si>
    <r>
      <t xml:space="preserve">PROYECTOS IT  / </t>
    </r>
    <r>
      <rPr>
        <i/>
        <sz val="9"/>
        <rFont val="Arial"/>
        <family val="2"/>
      </rPr>
      <t>Mod #1</t>
    </r>
    <r>
      <rPr>
        <sz val="9"/>
        <rFont val="Arial"/>
        <family val="2"/>
      </rPr>
      <t xml:space="preserve"> </t>
    </r>
  </si>
  <si>
    <t xml:space="preserve">ACTIVOS INSTITUCIONALES </t>
  </si>
  <si>
    <t xml:space="preserve">TOTAL PROGRAMA DE ACTIVOS e INVERSIÓN EN CAPITAL </t>
  </si>
  <si>
    <t>PROGRAMA DE BENEFICIOS</t>
  </si>
  <si>
    <t xml:space="preserve">TOTAL PROGRAMA DE BENEFICIOS </t>
  </si>
  <si>
    <t xml:space="preserve">COMISIÓN DE ADOPCIONES </t>
  </si>
  <si>
    <t>COMISIÓN DE CENTROS DE CUIDO</t>
  </si>
  <si>
    <t>COMISIÓN DE ASUNTOS CURRICULARES</t>
  </si>
  <si>
    <t>COMISIÓN DE CAPACITACIÓN</t>
  </si>
  <si>
    <t xml:space="preserve">COMITÉ CONSULTIVO </t>
  </si>
  <si>
    <t xml:space="preserve">COMISIÓN DE IDONEIDAD MENTAL </t>
  </si>
  <si>
    <t>COMISIÓN ACTIVIDADES SOCIALES JUBILADOS</t>
  </si>
  <si>
    <t>COMISIÓN EQUIPO DE INTERVENCIÓN PSICOLOGICA ESPECIALIZADA</t>
  </si>
  <si>
    <t>COMISIÓN DE POLÍTICA PÚBLICA</t>
  </si>
  <si>
    <t>COMISIÓN PROGRAMA DE BENEFICIOS</t>
  </si>
  <si>
    <t xml:space="preserve">COMISIÓN DE ORIENTACIÓN Y PROYECCIÓN LABORAL </t>
  </si>
  <si>
    <t>COMISIÓN DE REVISIÓN DEL CÓDIGO DE ÉTICA</t>
  </si>
  <si>
    <t xml:space="preserve">COMISIÓN PROMOCIÓN DE LA SALUD MENTAL </t>
  </si>
  <si>
    <t>COMISIÓN PSICOLOGÍA DEL DEPORTE</t>
  </si>
  <si>
    <t>COMISIÓN DE PROTOCOLOS</t>
  </si>
  <si>
    <t xml:space="preserve">COMISIÓN DE DERECHOS HUMANOS </t>
  </si>
  <si>
    <t>COMISIÓN PERMANENTE Y MIGRACIÓN</t>
  </si>
  <si>
    <t>COMISIÓN DE VÍNCULO HUMANOS ANIMAL</t>
  </si>
  <si>
    <t>PROGRAMA DE COMISIONES DE TRABAJO</t>
  </si>
  <si>
    <t xml:space="preserve">COMISIONES DE TRABAJO </t>
  </si>
  <si>
    <t xml:space="preserve">TOTAL PROGRAMA DE COMISIONES </t>
  </si>
  <si>
    <t xml:space="preserve">TOTAL EGRESOS </t>
  </si>
  <si>
    <t xml:space="preserve">EXCEDENTE OPERATIVO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</si>
</sst>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i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/>
    <xf numFmtId="41" fontId="5" fillId="3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/>
    <xf numFmtId="0" fontId="3" fillId="0" borderId="1" xfId="0" applyFont="1" applyFill="1" applyBorder="1"/>
    <xf numFmtId="3" fontId="3" fillId="0" borderId="1" xfId="0" applyNumberFormat="1" applyFont="1" applyFill="1" applyBorder="1"/>
    <xf numFmtId="164" fontId="3" fillId="0" borderId="1" xfId="1" applyNumberFormat="1" applyFont="1" applyFill="1" applyBorder="1"/>
    <xf numFmtId="0" fontId="3" fillId="0" borderId="2" xfId="0" applyFont="1" applyFill="1" applyBorder="1" applyAlignment="1"/>
    <xf numFmtId="0" fontId="3" fillId="0" borderId="4" xfId="0" applyFont="1" applyFill="1" applyBorder="1" applyAlignment="1"/>
    <xf numFmtId="0" fontId="3" fillId="0" borderId="1" xfId="0" applyFont="1" applyFill="1" applyBorder="1" applyAlignment="1"/>
    <xf numFmtId="0" fontId="7" fillId="0" borderId="5" xfId="0" applyFont="1" applyFill="1" applyBorder="1" applyAlignment="1"/>
    <xf numFmtId="164" fontId="3" fillId="0" borderId="0" xfId="1" applyNumberFormat="1" applyFont="1" applyFill="1"/>
    <xf numFmtId="0" fontId="3" fillId="0" borderId="6" xfId="0" applyFont="1" applyFill="1" applyBorder="1" applyAlignment="1"/>
    <xf numFmtId="0" fontId="7" fillId="0" borderId="2" xfId="0" applyFont="1" applyFill="1" applyBorder="1" applyAlignment="1"/>
    <xf numFmtId="41" fontId="7" fillId="0" borderId="3" xfId="0" applyNumberFormat="1" applyFont="1" applyFill="1" applyBorder="1" applyAlignment="1"/>
    <xf numFmtId="0" fontId="3" fillId="0" borderId="2" xfId="0" applyFont="1" applyFill="1" applyBorder="1"/>
    <xf numFmtId="41" fontId="3" fillId="0" borderId="7" xfId="1" applyNumberFormat="1" applyFont="1" applyFill="1" applyBorder="1" applyAlignment="1" applyProtection="1">
      <alignment horizontal="right"/>
    </xf>
    <xf numFmtId="0" fontId="3" fillId="0" borderId="0" xfId="0" applyFont="1" applyFill="1" applyBorder="1"/>
    <xf numFmtId="41" fontId="3" fillId="0" borderId="8" xfId="1" applyNumberFormat="1" applyFont="1" applyFill="1" applyBorder="1" applyAlignment="1" applyProtection="1">
      <alignment horizontal="right"/>
    </xf>
    <xf numFmtId="0" fontId="6" fillId="0" borderId="2" xfId="0" applyFont="1" applyFill="1" applyBorder="1"/>
    <xf numFmtId="0" fontId="7" fillId="0" borderId="0" xfId="0" applyFont="1" applyFill="1" applyBorder="1"/>
    <xf numFmtId="164" fontId="3" fillId="0" borderId="7" xfId="1" applyNumberFormat="1" applyFont="1" applyFill="1" applyBorder="1"/>
    <xf numFmtId="0" fontId="7" fillId="0" borderId="6" xfId="0" applyFont="1" applyFill="1" applyBorder="1"/>
    <xf numFmtId="41" fontId="7" fillId="0" borderId="8" xfId="1" applyNumberFormat="1" applyFont="1" applyFill="1" applyBorder="1" applyAlignment="1" applyProtection="1">
      <alignment horizontal="right"/>
    </xf>
    <xf numFmtId="164" fontId="3" fillId="0" borderId="3" xfId="1" applyNumberFormat="1" applyFont="1" applyFill="1" applyBorder="1"/>
    <xf numFmtId="41" fontId="7" fillId="0" borderId="8" xfId="1" applyNumberFormat="1" applyFont="1" applyFill="1" applyBorder="1" applyAlignment="1" applyProtection="1">
      <alignment horizontal="right" wrapText="1"/>
    </xf>
    <xf numFmtId="164" fontId="3" fillId="0" borderId="12" xfId="1" applyNumberFormat="1" applyFont="1" applyFill="1" applyBorder="1"/>
    <xf numFmtId="0" fontId="7" fillId="0" borderId="10" xfId="0" applyFont="1" applyFill="1" applyBorder="1" applyAlignment="1">
      <alignment horizontal="left"/>
    </xf>
    <xf numFmtId="0" fontId="3" fillId="0" borderId="1" xfId="0" applyFont="1" applyFill="1" applyBorder="1" applyAlignment="1">
      <alignment vertical="center"/>
    </xf>
    <xf numFmtId="41" fontId="7" fillId="0" borderId="9" xfId="1" applyNumberFormat="1" applyFont="1" applyFill="1" applyBorder="1" applyAlignment="1" applyProtection="1">
      <alignment horizontal="right" wrapText="1"/>
    </xf>
    <xf numFmtId="0" fontId="6" fillId="0" borderId="0" xfId="0" applyFont="1" applyFill="1" applyBorder="1" applyAlignment="1">
      <alignment wrapText="1"/>
    </xf>
    <xf numFmtId="0" fontId="7" fillId="0" borderId="1" xfId="0" applyFont="1" applyFill="1" applyBorder="1"/>
    <xf numFmtId="0" fontId="7" fillId="0" borderId="1" xfId="0" applyFont="1" applyFill="1" applyBorder="1" applyAlignment="1"/>
    <xf numFmtId="0" fontId="7" fillId="0" borderId="6" xfId="0" applyFont="1" applyFill="1" applyBorder="1" applyAlignment="1">
      <alignment horizontal="left"/>
    </xf>
    <xf numFmtId="0" fontId="3" fillId="0" borderId="6" xfId="0" applyFont="1" applyFill="1" applyBorder="1"/>
    <xf numFmtId="164" fontId="3" fillId="0" borderId="6" xfId="1" applyNumberFormat="1" applyFont="1" applyFill="1" applyBorder="1"/>
    <xf numFmtId="0" fontId="3" fillId="7" borderId="0" xfId="0" applyFont="1" applyFill="1"/>
    <xf numFmtId="41" fontId="7" fillId="0" borderId="9" xfId="0" applyNumberFormat="1" applyFont="1" applyFill="1" applyBorder="1" applyAlignment="1">
      <alignment horizontal="center" wrapText="1"/>
    </xf>
    <xf numFmtId="41" fontId="7" fillId="0" borderId="8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/>
    </xf>
    <xf numFmtId="0" fontId="7" fillId="0" borderId="8" xfId="0" applyFont="1" applyFill="1" applyBorder="1"/>
    <xf numFmtId="0" fontId="3" fillId="0" borderId="9" xfId="0" applyFont="1" applyFill="1" applyBorder="1" applyAlignment="1">
      <alignment horizontal="left"/>
    </xf>
    <xf numFmtId="41" fontId="7" fillId="0" borderId="7" xfId="1" applyNumberFormat="1" applyFont="1" applyFill="1" applyBorder="1" applyAlignment="1" applyProtection="1">
      <alignment horizontal="right" wrapText="1"/>
    </xf>
    <xf numFmtId="41" fontId="3" fillId="0" borderId="0" xfId="0" applyNumberFormat="1" applyFont="1" applyFill="1"/>
    <xf numFmtId="41" fontId="7" fillId="0" borderId="7" xfId="1" applyNumberFormat="1" applyFont="1" applyFill="1" applyBorder="1" applyAlignment="1" applyProtection="1">
      <alignment horizontal="right"/>
    </xf>
    <xf numFmtId="41" fontId="7" fillId="0" borderId="9" xfId="1" applyNumberFormat="1" applyFont="1" applyFill="1" applyBorder="1" applyAlignment="1" applyProtection="1">
      <alignment horizontal="right"/>
    </xf>
    <xf numFmtId="164" fontId="0" fillId="0" borderId="0" xfId="1" applyNumberFormat="1" applyFont="1" applyFill="1"/>
    <xf numFmtId="41" fontId="5" fillId="0" borderId="0" xfId="0" applyNumberFormat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 applyProtection="1">
      <alignment horizontal="right"/>
    </xf>
    <xf numFmtId="41" fontId="3" fillId="0" borderId="1" xfId="1" applyNumberFormat="1" applyFont="1" applyFill="1" applyBorder="1" applyAlignment="1" applyProtection="1">
      <alignment horizontal="right" wrapText="1"/>
    </xf>
    <xf numFmtId="41" fontId="3" fillId="0" borderId="6" xfId="1" applyNumberFormat="1" applyFont="1" applyFill="1" applyBorder="1" applyAlignment="1" applyProtection="1">
      <alignment horizontal="right" wrapText="1"/>
    </xf>
    <xf numFmtId="41" fontId="7" fillId="0" borderId="0" xfId="1" applyNumberFormat="1" applyFont="1" applyFill="1" applyBorder="1" applyAlignment="1" applyProtection="1">
      <alignment horizontal="right"/>
    </xf>
    <xf numFmtId="41" fontId="3" fillId="0" borderId="7" xfId="1" applyNumberFormat="1" applyFont="1" applyFill="1" applyBorder="1" applyAlignment="1" applyProtection="1">
      <alignment horizontal="right" wrapText="1"/>
    </xf>
    <xf numFmtId="0" fontId="7" fillId="0" borderId="3" xfId="0" applyFont="1" applyFill="1" applyBorder="1" applyAlignment="1"/>
    <xf numFmtId="164" fontId="5" fillId="0" borderId="0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/>
    <xf numFmtId="41" fontId="3" fillId="0" borderId="9" xfId="1" applyNumberFormat="1" applyFont="1" applyFill="1" applyBorder="1" applyAlignment="1" applyProtection="1">
      <alignment horizontal="right" wrapText="1"/>
    </xf>
    <xf numFmtId="41" fontId="7" fillId="0" borderId="0" xfId="1" applyNumberFormat="1" applyFont="1" applyFill="1" applyBorder="1" applyAlignment="1" applyProtection="1">
      <alignment horizontal="right" wrapText="1"/>
    </xf>
    <xf numFmtId="41" fontId="0" fillId="0" borderId="0" xfId="0" applyNumberFormat="1" applyFill="1"/>
    <xf numFmtId="0" fontId="7" fillId="0" borderId="2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left"/>
    </xf>
    <xf numFmtId="0" fontId="7" fillId="6" borderId="11" xfId="0" applyFont="1" applyFill="1" applyBorder="1" applyAlignment="1">
      <alignment horizontal="left"/>
    </xf>
    <xf numFmtId="41" fontId="7" fillId="0" borderId="2" xfId="1" applyNumberFormat="1" applyFont="1" applyFill="1" applyBorder="1" applyAlignment="1" applyProtection="1">
      <alignment horizontal="center" wrapText="1"/>
    </xf>
    <xf numFmtId="41" fontId="7" fillId="0" borderId="5" xfId="1" applyNumberFormat="1" applyFont="1" applyFill="1" applyBorder="1" applyAlignment="1" applyProtection="1">
      <alignment horizontal="center" wrapText="1"/>
    </xf>
    <xf numFmtId="0" fontId="7" fillId="6" borderId="9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left" wrapText="1"/>
    </xf>
    <xf numFmtId="0" fontId="3" fillId="0" borderId="0" xfId="0" applyFont="1" applyFill="1" applyBorder="1" applyAlignment="1"/>
    <xf numFmtId="41" fontId="6" fillId="0" borderId="1" xfId="1" applyNumberFormat="1" applyFont="1" applyFill="1" applyBorder="1" applyAlignment="1" applyProtection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cotog/Desktop/Presupuestos%20Anuales%20y%20Liquidaciones/Hist&#243;rico%20con%20adjuntos/Liquidaci&#243;n%20Presupuestaria%20Dic%202019%20con%20Mod%20-%20Subi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 presentacion"/>
      <sheetName val="Liqu.2019 con MP"/>
      <sheetName val="MODIFICACION PRESUPUESTARIA"/>
      <sheetName val="Cuotas "/>
      <sheetName val="certificados "/>
      <sheetName val="INGRE SERV COL"/>
      <sheetName val="Otros Ingresos "/>
      <sheetName val="GAS"/>
      <sheetName val="gastos adm"/>
      <sheetName val="OTROS SERVICIOS"/>
      <sheetName val="DIRECTIVOS"/>
      <sheetName val="activos"/>
    </sheetNames>
    <sheetDataSet>
      <sheetData sheetId="0">
        <row r="10">
          <cell r="C10" t="str">
            <v>CUOTAS COLEGIATURA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C208"/>
  <sheetViews>
    <sheetView showGridLines="0" tabSelected="1" workbookViewId="0">
      <selection activeCell="B212" sqref="B212"/>
    </sheetView>
  </sheetViews>
  <sheetFormatPr baseColWidth="10" defaultRowHeight="15" x14ac:dyDescent="0.25"/>
  <cols>
    <col min="2" max="2" width="60.85546875" style="1" customWidth="1"/>
    <col min="3" max="3" width="14.28515625" style="61" customWidth="1"/>
    <col min="4" max="4" width="15.28515625" style="49" customWidth="1"/>
    <col min="5" max="5" width="13.5703125" customWidth="1"/>
    <col min="6" max="21" width="11.42578125" customWidth="1"/>
  </cols>
  <sheetData>
    <row r="3" spans="1:55" x14ac:dyDescent="0.25">
      <c r="B3" s="65" t="s">
        <v>0</v>
      </c>
      <c r="C3" s="65"/>
      <c r="D3" s="65"/>
    </row>
    <row r="4" spans="1:55" s="3" customFormat="1" ht="22.5" customHeight="1" x14ac:dyDescent="0.25">
      <c r="A4" s="2"/>
      <c r="B4" s="65" t="s">
        <v>1</v>
      </c>
      <c r="C4" s="65"/>
      <c r="D4" s="6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</row>
    <row r="5" spans="1:55" s="3" customFormat="1" ht="22.5" customHeight="1" x14ac:dyDescent="0.25">
      <c r="A5" s="2"/>
      <c r="B5" s="65" t="s">
        <v>2</v>
      </c>
      <c r="C5" s="65"/>
      <c r="D5" s="6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</row>
    <row r="6" spans="1:55" s="3" customFormat="1" ht="11.25" customHeight="1" x14ac:dyDescent="0.2">
      <c r="A6" s="2"/>
      <c r="B6" s="66" t="s">
        <v>3</v>
      </c>
      <c r="C6" s="66"/>
      <c r="D6" s="6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</row>
    <row r="7" spans="1:55" s="3" customFormat="1" ht="11.25" customHeight="1" x14ac:dyDescent="0.2">
      <c r="A7" s="2"/>
      <c r="B7" s="66" t="s">
        <v>4</v>
      </c>
      <c r="C7" s="66"/>
      <c r="D7" s="6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</row>
    <row r="8" spans="1:55" s="3" customFormat="1" ht="36" x14ac:dyDescent="0.25">
      <c r="A8"/>
      <c r="B8" s="4" t="s">
        <v>5</v>
      </c>
      <c r="C8" s="4" t="s">
        <v>6</v>
      </c>
      <c r="D8" s="4" t="s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</row>
    <row r="9" spans="1:55" s="3" customFormat="1" ht="15" customHeight="1" x14ac:dyDescent="0.2">
      <c r="A9" s="2"/>
      <c r="B9" s="64"/>
      <c r="C9" s="64"/>
      <c r="D9" s="6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</row>
    <row r="10" spans="1:55" s="3" customFormat="1" ht="12" x14ac:dyDescent="0.2">
      <c r="A10" s="2"/>
      <c r="B10" s="6" t="s">
        <v>8</v>
      </c>
      <c r="C10" s="6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</row>
    <row r="11" spans="1:55" s="2" customFormat="1" ht="15" customHeight="1" x14ac:dyDescent="0.2">
      <c r="B11" s="8" t="str">
        <f>+'[1]para presentacion'!C10</f>
        <v>CUOTAS COLEGIATURA</v>
      </c>
      <c r="C11" s="51">
        <v>982532140</v>
      </c>
      <c r="D11" s="9">
        <v>911765076</v>
      </c>
    </row>
    <row r="12" spans="1:55" s="2" customFormat="1" ht="12" x14ac:dyDescent="0.2">
      <c r="B12" s="84"/>
      <c r="C12" s="84"/>
      <c r="D12" s="20"/>
      <c r="E12" s="20"/>
    </row>
    <row r="13" spans="1:55" s="2" customFormat="1" ht="12" x14ac:dyDescent="0.2">
      <c r="B13" s="6" t="s">
        <v>9</v>
      </c>
      <c r="C13" s="6"/>
    </row>
    <row r="14" spans="1:55" s="2" customFormat="1" ht="13.5" customHeight="1" x14ac:dyDescent="0.2">
      <c r="B14" s="7" t="s">
        <v>10</v>
      </c>
      <c r="C14" s="51">
        <v>108000000</v>
      </c>
      <c r="D14" s="9">
        <v>115659750</v>
      </c>
    </row>
    <row r="15" spans="1:55" s="2" customFormat="1" ht="12" x14ac:dyDescent="0.2">
      <c r="B15" s="12" t="s">
        <v>11</v>
      </c>
      <c r="C15" s="51">
        <v>9600000</v>
      </c>
      <c r="D15" s="9">
        <v>12840000</v>
      </c>
    </row>
    <row r="16" spans="1:55" s="2" customFormat="1" ht="12" x14ac:dyDescent="0.2">
      <c r="B16" s="84"/>
      <c r="C16" s="84"/>
      <c r="D16" s="20"/>
      <c r="E16" s="20"/>
    </row>
    <row r="17" spans="2:5" s="2" customFormat="1" ht="12" x14ac:dyDescent="0.2">
      <c r="B17" s="13" t="s">
        <v>12</v>
      </c>
      <c r="C17" s="13"/>
      <c r="D17" s="14"/>
    </row>
    <row r="18" spans="2:5" s="2" customFormat="1" ht="12" x14ac:dyDescent="0.2">
      <c r="B18" s="7" t="s">
        <v>13</v>
      </c>
      <c r="C18" s="51">
        <v>30722500</v>
      </c>
      <c r="D18" s="9">
        <f>25930000+304740+2554000</f>
        <v>28788740</v>
      </c>
    </row>
    <row r="19" spans="2:5" s="2" customFormat="1" ht="12" x14ac:dyDescent="0.2">
      <c r="B19" s="12" t="s">
        <v>14</v>
      </c>
      <c r="C19" s="51">
        <v>750000</v>
      </c>
      <c r="D19" s="9">
        <v>1358000</v>
      </c>
    </row>
    <row r="20" spans="2:5" s="2" customFormat="1" ht="12" x14ac:dyDescent="0.2">
      <c r="B20" s="12" t="s">
        <v>15</v>
      </c>
      <c r="C20" s="51">
        <v>3900000</v>
      </c>
      <c r="D20" s="9">
        <v>5048390</v>
      </c>
    </row>
    <row r="21" spans="2:5" s="2" customFormat="1" ht="12" x14ac:dyDescent="0.2">
      <c r="B21" s="12" t="s">
        <v>16</v>
      </c>
      <c r="C21" s="51">
        <v>3400000</v>
      </c>
      <c r="D21" s="9">
        <v>3495910</v>
      </c>
    </row>
    <row r="22" spans="2:5" s="2" customFormat="1" ht="12" x14ac:dyDescent="0.2">
      <c r="B22" s="12" t="s">
        <v>17</v>
      </c>
      <c r="C22" s="51">
        <v>6750000</v>
      </c>
      <c r="D22" s="9">
        <v>6665000</v>
      </c>
    </row>
    <row r="23" spans="2:5" s="2" customFormat="1" ht="12" x14ac:dyDescent="0.2">
      <c r="B23" s="12" t="s">
        <v>18</v>
      </c>
      <c r="C23" s="51">
        <v>120000</v>
      </c>
      <c r="D23" s="9">
        <f>29002.29+106309.74</f>
        <v>135312.03</v>
      </c>
    </row>
    <row r="24" spans="2:5" s="2" customFormat="1" ht="12" x14ac:dyDescent="0.2">
      <c r="B24" s="12" t="s">
        <v>19</v>
      </c>
      <c r="C24" s="51">
        <v>3500000</v>
      </c>
      <c r="D24" s="9">
        <f>2975000+1985000</f>
        <v>4960000</v>
      </c>
    </row>
    <row r="25" spans="2:5" s="2" customFormat="1" ht="12" x14ac:dyDescent="0.2">
      <c r="B25" s="84"/>
      <c r="C25" s="84"/>
      <c r="D25" s="20"/>
      <c r="E25" s="20"/>
    </row>
    <row r="26" spans="2:5" s="2" customFormat="1" ht="12" x14ac:dyDescent="0.2">
      <c r="B26" s="13" t="s">
        <v>20</v>
      </c>
      <c r="C26" s="13"/>
      <c r="D26" s="14"/>
    </row>
    <row r="27" spans="2:5" s="2" customFormat="1" ht="12" x14ac:dyDescent="0.2">
      <c r="B27" s="12" t="s">
        <v>21</v>
      </c>
      <c r="C27" s="52">
        <v>109000000</v>
      </c>
      <c r="D27" s="9">
        <f>17313500+38265191.8</f>
        <v>55578691.799999997</v>
      </c>
    </row>
    <row r="28" spans="2:5" s="2" customFormat="1" ht="12" x14ac:dyDescent="0.2">
      <c r="B28" s="15" t="s">
        <v>22</v>
      </c>
      <c r="C28" s="53">
        <v>15000000</v>
      </c>
      <c r="D28" s="9">
        <f>9834477.85+2457980</f>
        <v>12292457.85</v>
      </c>
    </row>
    <row r="29" spans="2:5" s="2" customFormat="1" ht="12" x14ac:dyDescent="0.2">
      <c r="B29" s="16" t="s">
        <v>23</v>
      </c>
      <c r="C29" s="17">
        <f>SUM(C11:C28)</f>
        <v>1273274640</v>
      </c>
      <c r="D29" s="17">
        <f t="shared" ref="D29" si="0">SUM(D11:D28)</f>
        <v>1158587327.6799998</v>
      </c>
    </row>
    <row r="30" spans="2:5" s="2" customFormat="1" ht="12" x14ac:dyDescent="0.2">
      <c r="B30" s="13" t="s">
        <v>24</v>
      </c>
      <c r="C30" s="13"/>
      <c r="D30" s="14"/>
    </row>
    <row r="31" spans="2:5" s="2" customFormat="1" ht="12" x14ac:dyDescent="0.2">
      <c r="B31" s="10" t="s">
        <v>25</v>
      </c>
      <c r="C31" s="51">
        <v>2000000</v>
      </c>
      <c r="D31" s="9">
        <v>1338415.93</v>
      </c>
    </row>
    <row r="32" spans="2:5" s="2" customFormat="1" ht="12" x14ac:dyDescent="0.2">
      <c r="B32" s="18" t="s">
        <v>26</v>
      </c>
      <c r="C32" s="51">
        <v>5000000</v>
      </c>
      <c r="D32" s="9">
        <v>897403.87</v>
      </c>
    </row>
    <row r="33" spans="1:55" s="2" customFormat="1" ht="12" x14ac:dyDescent="0.2">
      <c r="B33" s="18" t="s">
        <v>27</v>
      </c>
      <c r="C33" s="51">
        <v>500000</v>
      </c>
      <c r="D33" s="9">
        <f>1516416.38-102559.73</f>
        <v>1413856.65</v>
      </c>
    </row>
    <row r="34" spans="1:55" s="2" customFormat="1" ht="12" x14ac:dyDescent="0.2">
      <c r="B34" s="18" t="s">
        <v>28</v>
      </c>
      <c r="C34" s="51">
        <v>86000000</v>
      </c>
      <c r="D34" s="9">
        <v>0</v>
      </c>
    </row>
    <row r="35" spans="1:55" s="2" customFormat="1" ht="12" x14ac:dyDescent="0.2">
      <c r="B35" s="10" t="s">
        <v>29</v>
      </c>
      <c r="C35" s="51">
        <v>13500000</v>
      </c>
      <c r="D35" s="9">
        <v>6852085</v>
      </c>
    </row>
    <row r="36" spans="1:55" s="2" customFormat="1" ht="12.75" thickBot="1" x14ac:dyDescent="0.25">
      <c r="B36" s="10" t="s">
        <v>30</v>
      </c>
      <c r="C36" s="19">
        <v>60357032.120000102</v>
      </c>
      <c r="D36" s="19">
        <f>60357032+14030549</f>
        <v>74387581</v>
      </c>
    </row>
    <row r="37" spans="1:55" s="2" customFormat="1" ht="12.75" thickTop="1" x14ac:dyDescent="0.2">
      <c r="B37" s="16" t="s">
        <v>31</v>
      </c>
      <c r="C37" s="21">
        <f>SUM(C31:C36)</f>
        <v>167357032.12000009</v>
      </c>
      <c r="D37" s="21">
        <f>SUM(D31:D36)</f>
        <v>84889342.450000003</v>
      </c>
    </row>
    <row r="38" spans="1:55" s="2" customFormat="1" ht="12" x14ac:dyDescent="0.2">
      <c r="B38" s="22" t="s">
        <v>32</v>
      </c>
      <c r="C38" s="85">
        <f>+C37+C29</f>
        <v>1440631672.1200001</v>
      </c>
      <c r="D38" s="85">
        <f t="shared" ref="D38" si="1">+D37+D29</f>
        <v>1243476670.1299999</v>
      </c>
    </row>
    <row r="39" spans="1:55" s="3" customFormat="1" ht="12" x14ac:dyDescent="0.2">
      <c r="A39" s="2"/>
      <c r="B39" s="23"/>
      <c r="C39" s="54"/>
      <c r="D39" s="1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</row>
    <row r="40" spans="1:55" s="3" customFormat="1" ht="12" x14ac:dyDescent="0.2">
      <c r="A40" s="2"/>
      <c r="B40" s="23"/>
      <c r="C40" s="54"/>
      <c r="D40" s="1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</row>
    <row r="41" spans="1:55" s="3" customFormat="1" ht="36" x14ac:dyDescent="0.2">
      <c r="A41" s="2"/>
      <c r="B41" s="4" t="s">
        <v>5</v>
      </c>
      <c r="C41" s="4" t="s">
        <v>6</v>
      </c>
      <c r="D41" s="4" t="str">
        <f>+D8</f>
        <v>Ejecución al 31 Dic  2019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</row>
    <row r="42" spans="1:55" s="3" customFormat="1" ht="15" customHeight="1" x14ac:dyDescent="0.2">
      <c r="A42" s="2"/>
      <c r="B42" s="64" t="s">
        <v>33</v>
      </c>
      <c r="C42" s="64"/>
      <c r="D42" s="6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</row>
    <row r="43" spans="1:55" s="3" customFormat="1" ht="12" customHeight="1" x14ac:dyDescent="0.2">
      <c r="A43" s="2"/>
      <c r="B43" s="83" t="s">
        <v>34</v>
      </c>
      <c r="C43" s="83"/>
      <c r="D43" s="1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</row>
    <row r="44" spans="1:55" s="2" customFormat="1" ht="12.75" thickBot="1" x14ac:dyDescent="0.25">
      <c r="B44" s="7" t="s">
        <v>35</v>
      </c>
      <c r="C44" s="19">
        <f>+(2350*36000)+SUM(3500*300)-28000000+23000000</f>
        <v>80650000</v>
      </c>
      <c r="D44" s="24">
        <f>78700912.85+1291149.87+154220.76</f>
        <v>80146283.480000004</v>
      </c>
    </row>
    <row r="45" spans="1:55" s="2" customFormat="1" ht="12.75" thickTop="1" x14ac:dyDescent="0.2">
      <c r="B45" s="25" t="s">
        <v>36</v>
      </c>
      <c r="C45" s="26">
        <f>SUM(C44)</f>
        <v>80650000</v>
      </c>
      <c r="D45" s="26">
        <f t="shared" ref="D45" si="2">SUM(D44)</f>
        <v>80146283.480000004</v>
      </c>
    </row>
    <row r="46" spans="1:55" s="2" customFormat="1" ht="12" x14ac:dyDescent="0.2">
      <c r="B46" s="10"/>
      <c r="C46" s="11"/>
      <c r="D46" s="27"/>
    </row>
    <row r="47" spans="1:55" s="2" customFormat="1" ht="12" x14ac:dyDescent="0.2">
      <c r="B47" s="74" t="s">
        <v>37</v>
      </c>
      <c r="C47" s="75"/>
      <c r="D47" s="14"/>
    </row>
    <row r="48" spans="1:55" s="2" customFormat="1" ht="12" x14ac:dyDescent="0.2">
      <c r="B48" s="7" t="s">
        <v>17</v>
      </c>
      <c r="C48" s="51">
        <f>15000*450</f>
        <v>6750000</v>
      </c>
      <c r="D48" s="9">
        <f>35959.6+4669600.81</f>
        <v>4705560.4099999992</v>
      </c>
    </row>
    <row r="49" spans="1:55" s="2" customFormat="1" ht="12.75" thickBot="1" x14ac:dyDescent="0.25">
      <c r="B49" s="7" t="s">
        <v>13</v>
      </c>
      <c r="C49" s="19">
        <f>36500000-5777500</f>
        <v>30722500</v>
      </c>
      <c r="D49" s="24">
        <v>16617138.08</v>
      </c>
    </row>
    <row r="50" spans="1:55" s="2" customFormat="1" ht="12.75" thickTop="1" x14ac:dyDescent="0.2">
      <c r="B50" s="25" t="s">
        <v>38</v>
      </c>
      <c r="C50" s="26">
        <f>SUM(C48:C49)</f>
        <v>37472500</v>
      </c>
      <c r="D50" s="26">
        <f t="shared" ref="D50" si="3">SUM(D48:D49)</f>
        <v>21322698.489999998</v>
      </c>
    </row>
    <row r="51" spans="1:55" s="2" customFormat="1" ht="12" x14ac:dyDescent="0.2">
      <c r="B51" s="10"/>
      <c r="C51" s="11"/>
      <c r="D51" s="27"/>
    </row>
    <row r="52" spans="1:55" s="2" customFormat="1" ht="12" x14ac:dyDescent="0.2">
      <c r="B52" s="74" t="s">
        <v>20</v>
      </c>
      <c r="C52" s="75"/>
      <c r="D52" s="14"/>
    </row>
    <row r="53" spans="1:55" s="2" customFormat="1" ht="12.75" thickBot="1" x14ac:dyDescent="0.25">
      <c r="B53" s="7" t="s">
        <v>39</v>
      </c>
      <c r="C53" s="55">
        <v>112000000</v>
      </c>
      <c r="D53" s="24">
        <f>43778869.44+8283590.92+2320725.98</f>
        <v>54383186.339999996</v>
      </c>
    </row>
    <row r="54" spans="1:55" s="2" customFormat="1" ht="12.75" thickTop="1" x14ac:dyDescent="0.2">
      <c r="B54" s="25" t="s">
        <v>40</v>
      </c>
      <c r="C54" s="28">
        <f>SUM(C53)</f>
        <v>112000000</v>
      </c>
      <c r="D54" s="28">
        <f t="shared" ref="D54" si="4">SUM(D53)</f>
        <v>54383186.339999996</v>
      </c>
    </row>
    <row r="55" spans="1:55" s="2" customFormat="1" ht="12" x14ac:dyDescent="0.2">
      <c r="B55" s="10"/>
      <c r="C55" s="11"/>
      <c r="D55" s="29"/>
    </row>
    <row r="56" spans="1:55" s="2" customFormat="1" ht="12.75" thickBot="1" x14ac:dyDescent="0.25">
      <c r="B56" s="30" t="s">
        <v>41</v>
      </c>
      <c r="C56" s="55">
        <v>10000000</v>
      </c>
      <c r="D56" s="24">
        <f>282619.96+4233419.99</f>
        <v>4516039.95</v>
      </c>
    </row>
    <row r="57" spans="1:55" s="2" customFormat="1" ht="12.75" customHeight="1" thickTop="1" x14ac:dyDescent="0.2">
      <c r="B57" s="25" t="s">
        <v>42</v>
      </c>
      <c r="C57" s="28">
        <f>+C56</f>
        <v>10000000</v>
      </c>
      <c r="D57" s="28">
        <f t="shared" ref="D57" si="5">+D56</f>
        <v>4516039.95</v>
      </c>
    </row>
    <row r="58" spans="1:55" s="2" customFormat="1" ht="12" x14ac:dyDescent="0.2">
      <c r="B58" s="16"/>
      <c r="C58" s="56"/>
      <c r="D58" s="27"/>
    </row>
    <row r="59" spans="1:55" s="3" customFormat="1" ht="12" x14ac:dyDescent="0.2">
      <c r="A59" s="2"/>
      <c r="B59" s="77" t="s">
        <v>43</v>
      </c>
      <c r="C59" s="78"/>
      <c r="D59" s="14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</row>
    <row r="60" spans="1:55" s="2" customFormat="1" ht="12" x14ac:dyDescent="0.2">
      <c r="B60" s="7" t="s">
        <v>44</v>
      </c>
      <c r="C60" s="52">
        <f>321841547.41367-5100000</f>
        <v>316741547.41367</v>
      </c>
      <c r="D60" s="9">
        <f>290911155.87+5134708.79+661389.96+1076926</f>
        <v>297784180.62</v>
      </c>
    </row>
    <row r="61" spans="1:55" s="2" customFormat="1" ht="12" x14ac:dyDescent="0.2">
      <c r="B61" s="7" t="s">
        <v>45</v>
      </c>
      <c r="C61" s="52">
        <v>85792877.434019312</v>
      </c>
      <c r="D61" s="9">
        <v>81211122.780000001</v>
      </c>
    </row>
    <row r="62" spans="1:55" s="2" customFormat="1" ht="12" x14ac:dyDescent="0.2">
      <c r="B62" s="31" t="s">
        <v>46</v>
      </c>
      <c r="C62" s="52">
        <f>5000000+5100000</f>
        <v>10100000</v>
      </c>
      <c r="D62" s="9">
        <f>3353988.97+5813756.36+932153.99</f>
        <v>10099899.32</v>
      </c>
    </row>
    <row r="63" spans="1:55" s="2" customFormat="1" ht="12" x14ac:dyDescent="0.2">
      <c r="B63" s="7" t="s">
        <v>47</v>
      </c>
      <c r="C63" s="52">
        <v>27000000</v>
      </c>
      <c r="D63" s="9">
        <v>25235261.969999999</v>
      </c>
    </row>
    <row r="64" spans="1:55" s="2" customFormat="1" ht="12" x14ac:dyDescent="0.2">
      <c r="B64" s="7" t="s">
        <v>48</v>
      </c>
      <c r="C64" s="52">
        <v>2000000</v>
      </c>
      <c r="D64" s="9">
        <f>929747.3+484145.01</f>
        <v>1413892.31</v>
      </c>
    </row>
    <row r="65" spans="2:4" s="2" customFormat="1" ht="12" x14ac:dyDescent="0.2">
      <c r="B65" s="7" t="s">
        <v>49</v>
      </c>
      <c r="C65" s="52">
        <v>1000000</v>
      </c>
      <c r="D65" s="9">
        <v>425362.92</v>
      </c>
    </row>
    <row r="66" spans="2:4" s="2" customFormat="1" ht="12" x14ac:dyDescent="0.2">
      <c r="B66" s="7" t="s">
        <v>50</v>
      </c>
      <c r="C66" s="52">
        <v>1500000</v>
      </c>
      <c r="D66" s="9">
        <v>991785</v>
      </c>
    </row>
    <row r="67" spans="2:4" s="2" customFormat="1" ht="12.75" thickBot="1" x14ac:dyDescent="0.25">
      <c r="B67" s="7" t="s">
        <v>51</v>
      </c>
      <c r="C67" s="55">
        <v>900000</v>
      </c>
      <c r="D67" s="24">
        <v>900000</v>
      </c>
    </row>
    <row r="68" spans="2:4" s="2" customFormat="1" ht="12.75" thickTop="1" x14ac:dyDescent="0.2">
      <c r="B68" s="25" t="s">
        <v>52</v>
      </c>
      <c r="C68" s="28">
        <f>SUM(C60:C67)</f>
        <v>445034424.84768933</v>
      </c>
      <c r="D68" s="32">
        <f>SUM(D60:D67)</f>
        <v>418061504.91999996</v>
      </c>
    </row>
    <row r="69" spans="2:4" s="2" customFormat="1" ht="12" x14ac:dyDescent="0.2">
      <c r="B69" s="76"/>
      <c r="C69" s="76"/>
    </row>
    <row r="70" spans="2:4" s="2" customFormat="1" ht="12" x14ac:dyDescent="0.2">
      <c r="B70" s="77" t="s">
        <v>53</v>
      </c>
      <c r="C70" s="78"/>
      <c r="D70" s="14"/>
    </row>
    <row r="71" spans="2:4" s="2" customFormat="1" ht="12" x14ac:dyDescent="0.2">
      <c r="B71" s="7" t="s">
        <v>54</v>
      </c>
      <c r="C71" s="52">
        <v>5000000</v>
      </c>
      <c r="D71" s="9">
        <v>2590402</v>
      </c>
    </row>
    <row r="72" spans="2:4" s="2" customFormat="1" ht="12" x14ac:dyDescent="0.2">
      <c r="B72" s="7" t="s">
        <v>55</v>
      </c>
      <c r="C72" s="52">
        <f>12000000-40000-1650000-1560000</f>
        <v>8750000</v>
      </c>
      <c r="D72" s="9">
        <v>8577130.4100000001</v>
      </c>
    </row>
    <row r="73" spans="2:4" s="2" customFormat="1" ht="12" x14ac:dyDescent="0.2">
      <c r="B73" s="7" t="s">
        <v>56</v>
      </c>
      <c r="C73" s="52">
        <f>2500000+40000</f>
        <v>2540000</v>
      </c>
      <c r="D73" s="9">
        <v>2530598.79</v>
      </c>
    </row>
    <row r="74" spans="2:4" s="2" customFormat="1" ht="12" x14ac:dyDescent="0.2">
      <c r="B74" s="7" t="s">
        <v>57</v>
      </c>
      <c r="C74" s="52">
        <f>12000*610</f>
        <v>7320000</v>
      </c>
      <c r="D74" s="9">
        <v>4271976.5</v>
      </c>
    </row>
    <row r="75" spans="2:4" s="2" customFormat="1" ht="12" x14ac:dyDescent="0.2">
      <c r="B75" s="7" t="s">
        <v>58</v>
      </c>
      <c r="C75" s="52">
        <v>2000000</v>
      </c>
      <c r="D75" s="9">
        <v>1946332.6</v>
      </c>
    </row>
    <row r="76" spans="2:4" s="2" customFormat="1" ht="12" x14ac:dyDescent="0.2">
      <c r="B76" s="7" t="s">
        <v>59</v>
      </c>
      <c r="C76" s="52">
        <f>2000000+1400000</f>
        <v>3400000</v>
      </c>
      <c r="D76" s="9">
        <v>3383176.17</v>
      </c>
    </row>
    <row r="77" spans="2:4" s="2" customFormat="1" ht="12" x14ac:dyDescent="0.2">
      <c r="B77" s="7" t="s">
        <v>60</v>
      </c>
      <c r="C77" s="52">
        <v>1000000</v>
      </c>
      <c r="D77" s="9">
        <v>51559</v>
      </c>
    </row>
    <row r="78" spans="2:4" s="2" customFormat="1" ht="12" x14ac:dyDescent="0.2">
      <c r="B78" s="7" t="s">
        <v>61</v>
      </c>
      <c r="C78" s="52">
        <v>150000</v>
      </c>
      <c r="D78" s="9">
        <v>0</v>
      </c>
    </row>
    <row r="79" spans="2:4" s="2" customFormat="1" ht="12" x14ac:dyDescent="0.2">
      <c r="B79" s="7" t="s">
        <v>62</v>
      </c>
      <c r="C79" s="52">
        <v>1500000</v>
      </c>
      <c r="D79" s="9">
        <v>332088</v>
      </c>
    </row>
    <row r="80" spans="2:4" s="2" customFormat="1" ht="12" x14ac:dyDescent="0.2">
      <c r="B80" s="7" t="s">
        <v>63</v>
      </c>
      <c r="C80" s="52">
        <v>500000</v>
      </c>
      <c r="D80" s="9">
        <v>0</v>
      </c>
    </row>
    <row r="81" spans="2:4" s="2" customFormat="1" ht="12" x14ac:dyDescent="0.2">
      <c r="B81" s="7" t="s">
        <v>64</v>
      </c>
      <c r="C81" s="52">
        <f>7500000-1700000</f>
        <v>5800000</v>
      </c>
      <c r="D81" s="9">
        <v>5769755.5</v>
      </c>
    </row>
    <row r="82" spans="2:4" s="2" customFormat="1" ht="12" x14ac:dyDescent="0.2">
      <c r="B82" s="7" t="s">
        <v>65</v>
      </c>
      <c r="C82" s="52">
        <f>2400000*12</f>
        <v>28800000</v>
      </c>
      <c r="D82" s="9">
        <v>28278463.420000002</v>
      </c>
    </row>
    <row r="83" spans="2:4" s="2" customFormat="1" ht="12" x14ac:dyDescent="0.2">
      <c r="B83" s="7" t="s">
        <v>66</v>
      </c>
      <c r="C83" s="52">
        <f>2000000-200000</f>
        <v>1800000</v>
      </c>
      <c r="D83" s="9">
        <f>650908.52+128970.95+137144.86</f>
        <v>917024.33</v>
      </c>
    </row>
    <row r="84" spans="2:4" s="2" customFormat="1" ht="12" x14ac:dyDescent="0.2">
      <c r="B84" s="7" t="s">
        <v>67</v>
      </c>
      <c r="C84" s="52">
        <f>3000000-300000-1400000-80000-700000</f>
        <v>520000</v>
      </c>
      <c r="D84" s="9">
        <v>244353.66</v>
      </c>
    </row>
    <row r="85" spans="2:4" s="2" customFormat="1" ht="12" x14ac:dyDescent="0.2">
      <c r="B85" s="7" t="s">
        <v>68</v>
      </c>
      <c r="C85" s="52">
        <f>40000000+80000</f>
        <v>40080000</v>
      </c>
      <c r="D85" s="9">
        <f>3883698.12+33658579.24+996966.61+1032092.92+239519.12+6566.89+259029.39</f>
        <v>40076452.289999999</v>
      </c>
    </row>
    <row r="86" spans="2:4" s="2" customFormat="1" ht="12" x14ac:dyDescent="0.2">
      <c r="B86" s="7" t="s">
        <v>69</v>
      </c>
      <c r="C86" s="52">
        <f>15000000+1700000+300000</f>
        <v>17000000</v>
      </c>
      <c r="D86" s="9">
        <f>10749247.68+6249708.5</f>
        <v>16998956.18</v>
      </c>
    </row>
    <row r="87" spans="2:4" s="2" customFormat="1" ht="12" x14ac:dyDescent="0.2">
      <c r="B87" s="7" t="s">
        <v>70</v>
      </c>
      <c r="C87" s="52">
        <f>5000000+700000</f>
        <v>5700000</v>
      </c>
      <c r="D87" s="9">
        <f>4717073.88+952378</f>
        <v>5669451.8799999999</v>
      </c>
    </row>
    <row r="88" spans="2:4" s="2" customFormat="1" ht="12" x14ac:dyDescent="0.2">
      <c r="B88" s="7" t="s">
        <v>71</v>
      </c>
      <c r="C88" s="52">
        <v>1500000</v>
      </c>
      <c r="D88" s="9">
        <v>939404.72</v>
      </c>
    </row>
    <row r="89" spans="2:4" s="2" customFormat="1" ht="12" x14ac:dyDescent="0.2">
      <c r="B89" s="7" t="s">
        <v>72</v>
      </c>
      <c r="C89" s="52">
        <v>500000</v>
      </c>
      <c r="D89" s="9">
        <v>55195</v>
      </c>
    </row>
    <row r="90" spans="2:4" s="2" customFormat="1" ht="12" x14ac:dyDescent="0.2">
      <c r="B90" s="7" t="s">
        <v>73</v>
      </c>
      <c r="C90" s="52">
        <v>1000000</v>
      </c>
      <c r="D90" s="9">
        <v>0</v>
      </c>
    </row>
    <row r="91" spans="2:4" s="2" customFormat="1" ht="12" x14ac:dyDescent="0.2">
      <c r="B91" s="7" t="s">
        <v>74</v>
      </c>
      <c r="C91" s="52">
        <f>1000000+1650000</f>
        <v>2650000</v>
      </c>
      <c r="D91" s="9">
        <v>2649493.33</v>
      </c>
    </row>
    <row r="92" spans="2:4" s="2" customFormat="1" ht="12" x14ac:dyDescent="0.2">
      <c r="B92" s="7" t="s">
        <v>75</v>
      </c>
      <c r="C92" s="52">
        <f>660000+200000</f>
        <v>860000</v>
      </c>
      <c r="D92" s="9">
        <v>842235.39</v>
      </c>
    </row>
    <row r="93" spans="2:4" s="2" customFormat="1" ht="12" x14ac:dyDescent="0.2">
      <c r="B93" s="7" t="s">
        <v>76</v>
      </c>
      <c r="C93" s="52">
        <f>(2400000*12)+1560000</f>
        <v>30360000</v>
      </c>
      <c r="D93" s="9">
        <v>30350008.5</v>
      </c>
    </row>
    <row r="94" spans="2:4" s="2" customFormat="1" ht="12" x14ac:dyDescent="0.2">
      <c r="B94" s="7" t="s">
        <v>77</v>
      </c>
      <c r="C94" s="52">
        <f>(50000*12)</f>
        <v>600000</v>
      </c>
      <c r="D94" s="9">
        <v>311009.3</v>
      </c>
    </row>
    <row r="95" spans="2:4" s="2" customFormat="1" ht="12" x14ac:dyDescent="0.2">
      <c r="B95" s="7" t="s">
        <v>78</v>
      </c>
      <c r="C95" s="52">
        <v>250000</v>
      </c>
      <c r="D95" s="9">
        <v>0</v>
      </c>
    </row>
    <row r="96" spans="2:4" s="2" customFormat="1" ht="12" x14ac:dyDescent="0.2">
      <c r="B96" s="7" t="s">
        <v>79</v>
      </c>
      <c r="C96" s="52">
        <f>19000*610</f>
        <v>11590000</v>
      </c>
      <c r="D96" s="9">
        <v>6805119.9000000004</v>
      </c>
    </row>
    <row r="97" spans="1:55" s="2" customFormat="1" ht="12" x14ac:dyDescent="0.2">
      <c r="B97" s="7" t="s">
        <v>80</v>
      </c>
      <c r="C97" s="52">
        <v>10000000</v>
      </c>
      <c r="D97" s="9">
        <f>2011907+774771.38+1786000</f>
        <v>4572678.38</v>
      </c>
    </row>
    <row r="98" spans="1:55" s="2" customFormat="1" ht="12" x14ac:dyDescent="0.2">
      <c r="B98" s="7" t="s">
        <v>81</v>
      </c>
      <c r="C98" s="53">
        <v>23000000</v>
      </c>
      <c r="D98" s="9">
        <f>1957696.31+15284274.7</f>
        <v>17241971.009999998</v>
      </c>
    </row>
    <row r="99" spans="1:55" s="2" customFormat="1" ht="12.75" thickBot="1" x14ac:dyDescent="0.25">
      <c r="B99" s="7" t="s">
        <v>82</v>
      </c>
      <c r="C99" s="55">
        <f>90000*14</f>
        <v>1260000</v>
      </c>
      <c r="D99" s="24">
        <v>1651995.95</v>
      </c>
    </row>
    <row r="100" spans="1:55" s="3" customFormat="1" ht="12.75" thickTop="1" x14ac:dyDescent="0.2">
      <c r="A100" s="2"/>
      <c r="B100" s="25" t="s">
        <v>83</v>
      </c>
      <c r="C100" s="32">
        <f>SUM(C71:C99)</f>
        <v>215430000</v>
      </c>
      <c r="D100" s="32">
        <f t="shared" ref="D100" si="6">SUM(D71:D99)</f>
        <v>187056832.20999998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</row>
    <row r="101" spans="1:55" s="3" customFormat="1" ht="15" customHeight="1" x14ac:dyDescent="0.2">
      <c r="A101" s="23"/>
      <c r="B101" s="79" t="s">
        <v>84</v>
      </c>
      <c r="C101" s="8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</row>
    <row r="102" spans="1:55" s="3" customFormat="1" ht="36" hidden="1" x14ac:dyDescent="0.2">
      <c r="A102" s="2"/>
      <c r="B102" s="5" t="s">
        <v>5</v>
      </c>
      <c r="C102" s="50" t="s">
        <v>6</v>
      </c>
      <c r="D102" s="57" t="str">
        <f>+D41</f>
        <v>Ejecución al 31 Dic  2019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</row>
    <row r="103" spans="1:55" s="3" customFormat="1" ht="12" hidden="1" x14ac:dyDescent="0.2">
      <c r="A103" s="2"/>
      <c r="B103" s="3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</row>
    <row r="104" spans="1:55" s="3" customFormat="1" ht="12" x14ac:dyDescent="0.2">
      <c r="A104" s="2"/>
      <c r="B104" s="34" t="s">
        <v>85</v>
      </c>
      <c r="C104" s="7"/>
      <c r="D104" s="1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</row>
    <row r="105" spans="1:55" s="3" customFormat="1" ht="12" x14ac:dyDescent="0.2">
      <c r="A105" s="2"/>
      <c r="B105" s="7" t="s">
        <v>86</v>
      </c>
      <c r="C105" s="52">
        <v>11000000</v>
      </c>
      <c r="D105" s="9">
        <v>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</row>
    <row r="106" spans="1:55" s="2" customFormat="1" ht="12" x14ac:dyDescent="0.2">
      <c r="B106" s="7" t="s">
        <v>87</v>
      </c>
      <c r="C106" s="52">
        <f>30000000+2500000</f>
        <v>32500000</v>
      </c>
      <c r="D106" s="9">
        <v>32420092.84</v>
      </c>
    </row>
    <row r="107" spans="1:55" s="2" customFormat="1" ht="12.75" thickBot="1" x14ac:dyDescent="0.25">
      <c r="B107" s="7" t="s">
        <v>88</v>
      </c>
      <c r="C107" s="55">
        <f>(16000000*12)-2500000</f>
        <v>189500000</v>
      </c>
      <c r="D107" s="24">
        <f>132397552.49+50394728.9</f>
        <v>182792281.38999999</v>
      </c>
    </row>
    <row r="108" spans="1:55" s="3" customFormat="1" ht="12.75" thickTop="1" x14ac:dyDescent="0.2">
      <c r="A108" s="2"/>
      <c r="B108" s="25" t="s">
        <v>89</v>
      </c>
      <c r="C108" s="28">
        <f>SUM(C105:C107)</f>
        <v>233000000</v>
      </c>
      <c r="D108" s="28">
        <f t="shared" ref="D108" si="7">SUM(D105:D107)</f>
        <v>215212374.22999999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</row>
    <row r="109" spans="1:55" s="3" customFormat="1" ht="12" x14ac:dyDescent="0.2">
      <c r="A109" s="2"/>
      <c r="B109" s="16"/>
      <c r="C109" s="56"/>
      <c r="D109" s="2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</row>
    <row r="110" spans="1:55" s="3" customFormat="1" ht="12" x14ac:dyDescent="0.2">
      <c r="A110" s="2"/>
      <c r="B110" s="81" t="s">
        <v>90</v>
      </c>
      <c r="C110" s="81"/>
      <c r="D110" s="1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</row>
    <row r="111" spans="1:55" s="2" customFormat="1" ht="12" x14ac:dyDescent="0.2">
      <c r="B111" s="12" t="s">
        <v>72</v>
      </c>
      <c r="C111" s="52">
        <v>1500000</v>
      </c>
      <c r="D111" s="9">
        <f>1064748.82+114745+298005.1</f>
        <v>1477498.92</v>
      </c>
    </row>
    <row r="112" spans="1:55" s="2" customFormat="1" ht="12" x14ac:dyDescent="0.2">
      <c r="B112" s="12" t="s">
        <v>91</v>
      </c>
      <c r="C112" s="52">
        <v>500000</v>
      </c>
      <c r="D112" s="9">
        <v>0</v>
      </c>
    </row>
    <row r="113" spans="1:55" s="2" customFormat="1" ht="12.75" thickBot="1" x14ac:dyDescent="0.25">
      <c r="B113" s="12" t="s">
        <v>92</v>
      </c>
      <c r="C113" s="55">
        <v>3000000</v>
      </c>
      <c r="D113" s="24">
        <v>750000</v>
      </c>
    </row>
    <row r="114" spans="1:55" s="2" customFormat="1" ht="12.75" thickTop="1" x14ac:dyDescent="0.2">
      <c r="B114" s="25" t="s">
        <v>93</v>
      </c>
      <c r="C114" s="28">
        <f>SUM(C111:C113)</f>
        <v>5000000</v>
      </c>
      <c r="D114" s="28">
        <f t="shared" ref="D114" si="8">SUM(D111:D113)</f>
        <v>2227498.92</v>
      </c>
    </row>
    <row r="115" spans="1:55" s="2" customFormat="1" ht="12" x14ac:dyDescent="0.2">
      <c r="B115" s="35"/>
      <c r="C115" s="35"/>
      <c r="D115" s="27"/>
    </row>
    <row r="116" spans="1:55" s="3" customFormat="1" ht="12" x14ac:dyDescent="0.2">
      <c r="A116" s="2"/>
      <c r="B116" s="82" t="s">
        <v>22</v>
      </c>
      <c r="C116" s="82"/>
      <c r="D116" s="1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</row>
    <row r="117" spans="1:55" s="2" customFormat="1" ht="12" x14ac:dyDescent="0.2">
      <c r="B117" s="7" t="s">
        <v>72</v>
      </c>
      <c r="C117" s="52">
        <v>620000</v>
      </c>
      <c r="D117" s="9">
        <v>412936.4</v>
      </c>
    </row>
    <row r="118" spans="1:55" s="2" customFormat="1" ht="12" x14ac:dyDescent="0.2">
      <c r="B118" s="7" t="s">
        <v>94</v>
      </c>
      <c r="C118" s="52">
        <v>1080000</v>
      </c>
      <c r="D118" s="9">
        <v>0</v>
      </c>
    </row>
    <row r="119" spans="1:55" s="2" customFormat="1" ht="12" x14ac:dyDescent="0.2">
      <c r="B119" s="7" t="s">
        <v>95</v>
      </c>
      <c r="C119" s="52">
        <v>600000</v>
      </c>
      <c r="D119" s="9">
        <v>0</v>
      </c>
    </row>
    <row r="120" spans="1:55" s="2" customFormat="1" ht="12" x14ac:dyDescent="0.2">
      <c r="B120" s="7" t="s">
        <v>96</v>
      </c>
      <c r="C120" s="52">
        <v>500000</v>
      </c>
      <c r="D120" s="9">
        <v>0</v>
      </c>
    </row>
    <row r="121" spans="1:55" s="2" customFormat="1" ht="12.75" thickBot="1" x14ac:dyDescent="0.25">
      <c r="B121" s="7" t="s">
        <v>97</v>
      </c>
      <c r="C121" s="55">
        <v>600000</v>
      </c>
      <c r="D121" s="24">
        <v>444482.92</v>
      </c>
    </row>
    <row r="122" spans="1:55" s="2" customFormat="1" ht="12.75" thickTop="1" x14ac:dyDescent="0.2">
      <c r="B122" s="36" t="s">
        <v>98</v>
      </c>
      <c r="C122" s="28">
        <f>SUM(C117:C121)</f>
        <v>3400000</v>
      </c>
      <c r="D122" s="28">
        <f t="shared" ref="D122" si="9">SUM(D117:D121)</f>
        <v>857419.32000000007</v>
      </c>
    </row>
    <row r="123" spans="1:55" s="2" customFormat="1" ht="12" x14ac:dyDescent="0.2">
      <c r="B123" s="16"/>
      <c r="C123" s="58"/>
      <c r="D123" s="27"/>
    </row>
    <row r="124" spans="1:55" s="2" customFormat="1" ht="12" x14ac:dyDescent="0.2">
      <c r="B124" s="69" t="s">
        <v>99</v>
      </c>
      <c r="C124" s="69"/>
      <c r="D124" s="14"/>
    </row>
    <row r="125" spans="1:55" s="2" customFormat="1" ht="12" x14ac:dyDescent="0.2">
      <c r="B125" s="7" t="s">
        <v>100</v>
      </c>
      <c r="C125" s="52">
        <v>2400000</v>
      </c>
      <c r="D125" s="9">
        <v>2400000</v>
      </c>
    </row>
    <row r="126" spans="1:55" s="2" customFormat="1" ht="12.75" thickBot="1" x14ac:dyDescent="0.25">
      <c r="B126" s="7" t="s">
        <v>101</v>
      </c>
      <c r="C126" s="55">
        <v>7570685</v>
      </c>
      <c r="D126" s="24">
        <v>2698361.3</v>
      </c>
    </row>
    <row r="127" spans="1:55" s="2" customFormat="1" ht="12.75" thickTop="1" x14ac:dyDescent="0.2">
      <c r="B127" s="25" t="s">
        <v>102</v>
      </c>
      <c r="C127" s="32">
        <f>SUM(C125:C126)</f>
        <v>9970685</v>
      </c>
      <c r="D127" s="32">
        <f t="shared" ref="D127" si="10">SUM(D125:D126)</f>
        <v>5098361.3</v>
      </c>
    </row>
    <row r="128" spans="1:55" s="2" customFormat="1" ht="12" x14ac:dyDescent="0.2">
      <c r="B128" s="71"/>
      <c r="C128" s="72"/>
    </row>
    <row r="129" spans="1:55" s="3" customFormat="1" ht="36" hidden="1" x14ac:dyDescent="0.2">
      <c r="A129" s="2"/>
      <c r="B129" s="5" t="s">
        <v>5</v>
      </c>
      <c r="C129" s="50" t="s">
        <v>6</v>
      </c>
      <c r="D129" s="57" t="str">
        <f t="shared" ref="D129" si="11">+D102</f>
        <v>Ejecución al 31 Dic  2019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</row>
    <row r="130" spans="1:55" s="3" customFormat="1" ht="15" hidden="1" customHeight="1" x14ac:dyDescent="0.2">
      <c r="A130" s="2"/>
      <c r="B130" s="64"/>
      <c r="C130" s="6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</row>
    <row r="131" spans="1:55" s="3" customFormat="1" ht="12" x14ac:dyDescent="0.2">
      <c r="A131" s="2"/>
      <c r="B131" s="73" t="s">
        <v>103</v>
      </c>
      <c r="C131" s="73"/>
      <c r="D131" s="1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</row>
    <row r="132" spans="1:55" s="2" customFormat="1" ht="12" x14ac:dyDescent="0.2">
      <c r="B132" s="7" t="s">
        <v>104</v>
      </c>
      <c r="C132" s="52">
        <f>12780000+500000+1000000</f>
        <v>14280000</v>
      </c>
      <c r="D132" s="9">
        <v>14227395.619999999</v>
      </c>
    </row>
    <row r="133" spans="1:55" s="2" customFormat="1" ht="12" x14ac:dyDescent="0.2">
      <c r="B133" s="7" t="s">
        <v>105</v>
      </c>
      <c r="C133" s="52">
        <f>12000000+10000000+1250000</f>
        <v>23250000</v>
      </c>
      <c r="D133" s="9">
        <v>23215281.34</v>
      </c>
    </row>
    <row r="134" spans="1:55" s="2" customFormat="1" ht="12" x14ac:dyDescent="0.2">
      <c r="B134" s="7" t="s">
        <v>106</v>
      </c>
      <c r="C134" s="52">
        <v>1300000</v>
      </c>
      <c r="D134" s="9">
        <v>1250000</v>
      </c>
    </row>
    <row r="135" spans="1:55" s="2" customFormat="1" ht="12" x14ac:dyDescent="0.2">
      <c r="B135" s="7" t="s">
        <v>107</v>
      </c>
      <c r="C135" s="52">
        <f>15000000-10000000</f>
        <v>5000000</v>
      </c>
      <c r="D135" s="9">
        <f>150000+4299200.06</f>
        <v>4449200.0599999996</v>
      </c>
    </row>
    <row r="136" spans="1:55" s="2" customFormat="1" ht="12" x14ac:dyDescent="0.2">
      <c r="B136" s="7" t="s">
        <v>108</v>
      </c>
      <c r="C136" s="53">
        <f>+SUM(350000*3*3)-1000000-1250000</f>
        <v>900000</v>
      </c>
      <c r="D136" s="9">
        <v>0</v>
      </c>
    </row>
    <row r="137" spans="1:55" s="39" customFormat="1" ht="12" x14ac:dyDescent="0.2">
      <c r="A137" s="2"/>
      <c r="B137" s="37" t="s">
        <v>109</v>
      </c>
      <c r="C137" s="53">
        <f>2200000-450000</f>
        <v>1750000</v>
      </c>
      <c r="D137" s="38">
        <v>1233544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</row>
    <row r="138" spans="1:55" s="2" customFormat="1" ht="12" x14ac:dyDescent="0.2">
      <c r="B138" s="7" t="s">
        <v>110</v>
      </c>
      <c r="C138" s="52">
        <v>3000000</v>
      </c>
      <c r="D138" s="9">
        <v>2250017.64</v>
      </c>
    </row>
    <row r="139" spans="1:55" s="2" customFormat="1" ht="12" x14ac:dyDescent="0.2">
      <c r="B139" s="7" t="s">
        <v>111</v>
      </c>
      <c r="C139" s="52">
        <v>2500000</v>
      </c>
      <c r="D139" s="9">
        <f>2275173.5+14400</f>
        <v>2289573.5</v>
      </c>
    </row>
    <row r="140" spans="1:55" s="2" customFormat="1" ht="12" x14ac:dyDescent="0.2">
      <c r="B140" s="7" t="s">
        <v>112</v>
      </c>
      <c r="C140" s="52">
        <v>5000000</v>
      </c>
      <c r="D140" s="9">
        <v>2891273.33</v>
      </c>
    </row>
    <row r="141" spans="1:55" s="2" customFormat="1" ht="12.75" thickBot="1" x14ac:dyDescent="0.25">
      <c r="B141" s="7" t="s">
        <v>113</v>
      </c>
      <c r="C141" s="55">
        <f>(1100000*12)-1200000</f>
        <v>12000000</v>
      </c>
      <c r="D141" s="24">
        <v>11548116.939999999</v>
      </c>
    </row>
    <row r="142" spans="1:55" s="3" customFormat="1" ht="12.75" thickTop="1" x14ac:dyDescent="0.2">
      <c r="A142" s="2"/>
      <c r="B142" s="25" t="s">
        <v>114</v>
      </c>
      <c r="C142" s="28">
        <f>SUM(C132:C141)</f>
        <v>68980000</v>
      </c>
      <c r="D142" s="28">
        <f t="shared" ref="D142" si="12">SUM(D132:D141)</f>
        <v>63354402.43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</row>
    <row r="143" spans="1:55" s="3" customFormat="1" ht="12" x14ac:dyDescent="0.2">
      <c r="A143" s="2"/>
      <c r="B143" s="16"/>
      <c r="C143" s="58"/>
      <c r="D143" s="2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</row>
    <row r="144" spans="1:55" s="3" customFormat="1" ht="12" x14ac:dyDescent="0.2">
      <c r="A144" s="2"/>
      <c r="B144" s="74" t="s">
        <v>115</v>
      </c>
      <c r="C144" s="75"/>
      <c r="D144" s="1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</row>
    <row r="145" spans="1:55" s="39" customFormat="1" ht="12" customHeight="1" x14ac:dyDescent="0.2">
      <c r="A145" s="2"/>
      <c r="B145" s="7" t="s">
        <v>116</v>
      </c>
      <c r="C145" s="53">
        <f>8544353.81+1207032</f>
        <v>9751385.8100000005</v>
      </c>
      <c r="D145" s="9">
        <v>9278229.4000000004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</row>
    <row r="146" spans="1:55" s="39" customFormat="1" ht="12" x14ac:dyDescent="0.2">
      <c r="A146" s="2"/>
      <c r="B146" s="7" t="s">
        <v>117</v>
      </c>
      <c r="C146" s="53">
        <v>3000000</v>
      </c>
      <c r="D146" s="9">
        <v>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</row>
    <row r="147" spans="1:55" s="2" customFormat="1" ht="12.75" thickBot="1" x14ac:dyDescent="0.25">
      <c r="B147" s="37" t="s">
        <v>118</v>
      </c>
      <c r="C147" s="55">
        <v>5000000</v>
      </c>
      <c r="D147" s="24">
        <v>188925.41</v>
      </c>
    </row>
    <row r="148" spans="1:55" s="2" customFormat="1" ht="12.75" thickTop="1" x14ac:dyDescent="0.2">
      <c r="B148" s="25" t="s">
        <v>119</v>
      </c>
      <c r="C148" s="32">
        <f>SUM(C145:C147)</f>
        <v>17751385.810000002</v>
      </c>
      <c r="D148" s="32">
        <f t="shared" ref="D148" si="13">SUM(D145:D147)</f>
        <v>9467154.8100000005</v>
      </c>
    </row>
    <row r="149" spans="1:55" s="2" customFormat="1" ht="12" x14ac:dyDescent="0.2">
      <c r="B149" s="67"/>
      <c r="C149" s="67"/>
    </row>
    <row r="150" spans="1:55" s="3" customFormat="1" ht="12" x14ac:dyDescent="0.2">
      <c r="A150" s="2"/>
      <c r="B150" s="69" t="s">
        <v>120</v>
      </c>
      <c r="C150" s="69"/>
      <c r="D150" s="1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</row>
    <row r="151" spans="1:55" s="3" customFormat="1" ht="12" x14ac:dyDescent="0.2">
      <c r="A151" s="2"/>
      <c r="B151" s="7" t="s">
        <v>121</v>
      </c>
      <c r="C151" s="52">
        <v>3000000</v>
      </c>
      <c r="D151" s="9">
        <v>776087.18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</row>
    <row r="152" spans="1:55" s="3" customFormat="1" ht="12" x14ac:dyDescent="0.2">
      <c r="A152" s="2"/>
      <c r="B152" s="7" t="s">
        <v>122</v>
      </c>
      <c r="C152" s="52">
        <v>5000000</v>
      </c>
      <c r="D152" s="9">
        <v>3946301.76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</row>
    <row r="153" spans="1:55" s="3" customFormat="1" ht="12.75" thickBot="1" x14ac:dyDescent="0.25">
      <c r="A153" s="2"/>
      <c r="B153" s="7" t="s">
        <v>123</v>
      </c>
      <c r="C153" s="55">
        <v>3000000</v>
      </c>
      <c r="D153" s="24">
        <v>1004629.97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</row>
    <row r="154" spans="1:55" s="3" customFormat="1" ht="12.75" thickTop="1" x14ac:dyDescent="0.2">
      <c r="A154" s="2"/>
      <c r="B154" s="25" t="s">
        <v>124</v>
      </c>
      <c r="C154" s="40">
        <f>SUM(C151:C153)</f>
        <v>11000000</v>
      </c>
      <c r="D154" s="40">
        <f t="shared" ref="D154" si="14">SUM(D151:D153)</f>
        <v>5727018.9099999992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</row>
    <row r="155" spans="1:55" s="3" customFormat="1" ht="12" x14ac:dyDescent="0.2">
      <c r="A155" s="2"/>
      <c r="B155" s="67"/>
      <c r="C155" s="68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</row>
    <row r="156" spans="1:55" s="3" customFormat="1" ht="12" x14ac:dyDescent="0.2">
      <c r="A156" s="2"/>
      <c r="B156" s="69" t="s">
        <v>125</v>
      </c>
      <c r="C156" s="69"/>
      <c r="D156" s="1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</row>
    <row r="157" spans="1:55" s="2" customFormat="1" ht="12" x14ac:dyDescent="0.2">
      <c r="B157" s="7" t="s">
        <v>126</v>
      </c>
      <c r="C157" s="52">
        <f>(400000*12)+1200000</f>
        <v>6000000</v>
      </c>
      <c r="D157" s="9">
        <v>5974504.9900000002</v>
      </c>
    </row>
    <row r="158" spans="1:55" s="2" customFormat="1" ht="12" x14ac:dyDescent="0.2">
      <c r="B158" s="7" t="s">
        <v>127</v>
      </c>
      <c r="C158" s="52">
        <v>1500000</v>
      </c>
      <c r="D158" s="9">
        <v>885148.38</v>
      </c>
    </row>
    <row r="159" spans="1:55" s="2" customFormat="1" ht="12" x14ac:dyDescent="0.2">
      <c r="B159" s="7" t="s">
        <v>128</v>
      </c>
      <c r="C159" s="52">
        <v>350000</v>
      </c>
      <c r="D159" s="9">
        <v>12390</v>
      </c>
    </row>
    <row r="160" spans="1:55" s="2" customFormat="1" ht="12" customHeight="1" thickBot="1" x14ac:dyDescent="0.25">
      <c r="B160" s="7" t="s">
        <v>129</v>
      </c>
      <c r="C160" s="55">
        <v>12000000</v>
      </c>
      <c r="D160" s="24">
        <v>10027702.59</v>
      </c>
    </row>
    <row r="161" spans="1:55" s="3" customFormat="1" ht="12.75" thickTop="1" x14ac:dyDescent="0.2">
      <c r="A161" s="2"/>
      <c r="B161" s="25" t="s">
        <v>130</v>
      </c>
      <c r="C161" s="41">
        <f>SUM(C157:C160)</f>
        <v>19850000</v>
      </c>
      <c r="D161" s="41">
        <f t="shared" ref="D161" si="15">SUM(D157:D160)</f>
        <v>16899745.960000001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</row>
    <row r="162" spans="1:55" s="3" customFormat="1" ht="12" x14ac:dyDescent="0.2">
      <c r="A162" s="2"/>
      <c r="B162" s="16"/>
      <c r="C162" s="56"/>
      <c r="D162" s="2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</row>
    <row r="163" spans="1:55" s="3" customFormat="1" ht="36" hidden="1" x14ac:dyDescent="0.2">
      <c r="A163" s="2"/>
      <c r="B163" s="5" t="s">
        <v>5</v>
      </c>
      <c r="C163" s="50" t="s">
        <v>6</v>
      </c>
      <c r="D163" s="57" t="str">
        <f>+D129</f>
        <v>Ejecución al 31 Dic  2019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</row>
    <row r="164" spans="1:55" s="3" customFormat="1" ht="15" hidden="1" customHeight="1" x14ac:dyDescent="0.2">
      <c r="A164" s="2"/>
      <c r="B164" s="64"/>
      <c r="C164" s="6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</row>
    <row r="165" spans="1:55" s="3" customFormat="1" ht="12" x14ac:dyDescent="0.2">
      <c r="A165" s="2"/>
      <c r="B165" s="69" t="s">
        <v>131</v>
      </c>
      <c r="C165" s="69"/>
      <c r="D165" s="1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</row>
    <row r="166" spans="1:55" s="3" customFormat="1" ht="12" x14ac:dyDescent="0.2">
      <c r="A166" s="2"/>
      <c r="B166" s="7" t="s">
        <v>132</v>
      </c>
      <c r="C166" s="52">
        <f>400000+700000</f>
        <v>1100000</v>
      </c>
      <c r="D166" s="9">
        <f>5162779.87-4080077</f>
        <v>1082702.8700000001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</row>
    <row r="167" spans="1:55" s="3" customFormat="1" ht="12" x14ac:dyDescent="0.2">
      <c r="A167" s="2"/>
      <c r="B167" s="7" t="s">
        <v>133</v>
      </c>
      <c r="C167" s="52">
        <v>2000000</v>
      </c>
      <c r="D167" s="9">
        <v>0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</row>
    <row r="168" spans="1:55" s="3" customFormat="1" ht="12" x14ac:dyDescent="0.2">
      <c r="A168" s="2"/>
      <c r="B168" s="7" t="s">
        <v>134</v>
      </c>
      <c r="C168" s="53">
        <v>1000000</v>
      </c>
      <c r="D168" s="9">
        <v>562510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</row>
    <row r="169" spans="1:55" s="3" customFormat="1" ht="12.75" thickBot="1" x14ac:dyDescent="0.25">
      <c r="A169" s="2"/>
      <c r="B169" s="7" t="s">
        <v>135</v>
      </c>
      <c r="C169" s="55">
        <f>6000000-700000</f>
        <v>5300000</v>
      </c>
      <c r="D169" s="24">
        <v>4849960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</row>
    <row r="170" spans="1:55" s="3" customFormat="1" ht="12.75" thickTop="1" x14ac:dyDescent="0.2">
      <c r="A170" s="2"/>
      <c r="B170" s="25" t="s">
        <v>130</v>
      </c>
      <c r="C170" s="41">
        <f>SUM(C166:C169)</f>
        <v>9400000</v>
      </c>
      <c r="D170" s="41">
        <f t="shared" ref="D170" si="16">SUM(D166:D169)</f>
        <v>6495172.8700000001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</row>
    <row r="171" spans="1:55" s="3" customFormat="1" ht="12" x14ac:dyDescent="0.2">
      <c r="A171" s="2"/>
      <c r="B171" s="35"/>
      <c r="C171" s="35"/>
      <c r="D171" s="2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</row>
    <row r="172" spans="1:55" s="2" customFormat="1" ht="12" x14ac:dyDescent="0.2">
      <c r="B172" s="69" t="s">
        <v>136</v>
      </c>
      <c r="C172" s="69"/>
      <c r="D172" s="14"/>
    </row>
    <row r="173" spans="1:55" s="2" customFormat="1" ht="12" x14ac:dyDescent="0.2">
      <c r="B173" s="7" t="s">
        <v>137</v>
      </c>
      <c r="C173" s="52">
        <v>33635400</v>
      </c>
      <c r="D173" s="9">
        <f>8284455.31+17898458.25+1438103.41+1930430.77</f>
        <v>29551447.739999998</v>
      </c>
    </row>
    <row r="174" spans="1:55" s="2" customFormat="1" ht="12" x14ac:dyDescent="0.2">
      <c r="B174" s="7" t="s">
        <v>138</v>
      </c>
      <c r="C174" s="52">
        <f>128307276.334379-23000000</f>
        <v>105307276.334379</v>
      </c>
      <c r="D174" s="9">
        <f>45614362.42+9947412+7864800+4661604.73</f>
        <v>68088179.150000006</v>
      </c>
    </row>
    <row r="175" spans="1:55" s="2" customFormat="1" ht="12.75" thickBot="1" x14ac:dyDescent="0.25">
      <c r="B175" s="42" t="s">
        <v>139</v>
      </c>
      <c r="C175" s="55">
        <v>7500000</v>
      </c>
      <c r="D175" s="24">
        <f>6166998.67+77766.6+77766.6+124120+314000</f>
        <v>6760651.8699999992</v>
      </c>
    </row>
    <row r="176" spans="1:55" s="2" customFormat="1" ht="12.75" thickTop="1" x14ac:dyDescent="0.2">
      <c r="B176" s="43" t="s">
        <v>140</v>
      </c>
      <c r="C176" s="28">
        <f>SUM(C173:C175)</f>
        <v>146442676.33437902</v>
      </c>
      <c r="D176" s="28">
        <f t="shared" ref="D176" si="17">SUM(D173:D175)</f>
        <v>104400278.76000001</v>
      </c>
    </row>
    <row r="177" spans="2:4" s="2" customFormat="1" ht="12" x14ac:dyDescent="0.2">
      <c r="B177" s="16"/>
      <c r="C177" s="56"/>
      <c r="D177" s="27"/>
    </row>
    <row r="178" spans="2:4" s="2" customFormat="1" ht="12" x14ac:dyDescent="0.2">
      <c r="B178" s="70" t="s">
        <v>141</v>
      </c>
      <c r="C178" s="70"/>
      <c r="D178" s="14"/>
    </row>
    <row r="179" spans="2:4" s="2" customFormat="1" ht="12.75" thickBot="1" x14ac:dyDescent="0.25">
      <c r="B179" s="7" t="s">
        <v>141</v>
      </c>
      <c r="C179" s="55">
        <v>10000000</v>
      </c>
      <c r="D179" s="24">
        <v>6852084</v>
      </c>
    </row>
    <row r="180" spans="2:4" s="2" customFormat="1" ht="12.75" thickTop="1" x14ac:dyDescent="0.2">
      <c r="B180" s="25" t="s">
        <v>142</v>
      </c>
      <c r="C180" s="32">
        <f>SUM(C179)</f>
        <v>10000000</v>
      </c>
      <c r="D180" s="32">
        <f t="shared" ref="D180" si="18">SUM(D179)</f>
        <v>6852084</v>
      </c>
    </row>
    <row r="181" spans="2:4" s="2" customFormat="1" ht="12" x14ac:dyDescent="0.2">
      <c r="B181" s="62"/>
      <c r="C181" s="63"/>
    </row>
    <row r="182" spans="2:4" s="2" customFormat="1" ht="12" hidden="1" customHeight="1" x14ac:dyDescent="0.2">
      <c r="B182" s="44" t="s">
        <v>143</v>
      </c>
      <c r="C182" s="59">
        <v>250000</v>
      </c>
      <c r="D182" s="14"/>
    </row>
    <row r="183" spans="2:4" s="2" customFormat="1" ht="14.25" hidden="1" customHeight="1" x14ac:dyDescent="0.2">
      <c r="B183" s="42" t="s">
        <v>144</v>
      </c>
      <c r="C183" s="52">
        <v>250000</v>
      </c>
      <c r="D183" s="14"/>
    </row>
    <row r="184" spans="2:4" s="2" customFormat="1" ht="12" hidden="1" customHeight="1" x14ac:dyDescent="0.2">
      <c r="B184" s="42" t="s">
        <v>145</v>
      </c>
      <c r="C184" s="52">
        <v>1000000</v>
      </c>
      <c r="D184" s="14"/>
    </row>
    <row r="185" spans="2:4" s="2" customFormat="1" ht="12" hidden="1" customHeight="1" x14ac:dyDescent="0.2">
      <c r="B185" s="42" t="s">
        <v>146</v>
      </c>
      <c r="C185" s="52">
        <v>250000</v>
      </c>
      <c r="D185" s="14"/>
    </row>
    <row r="186" spans="2:4" s="2" customFormat="1" ht="12" hidden="1" customHeight="1" x14ac:dyDescent="0.2">
      <c r="B186" s="42" t="s">
        <v>147</v>
      </c>
      <c r="C186" s="52">
        <v>250000</v>
      </c>
      <c r="D186" s="14"/>
    </row>
    <row r="187" spans="2:4" s="2" customFormat="1" ht="12" hidden="1" customHeight="1" x14ac:dyDescent="0.2">
      <c r="B187" s="42" t="s">
        <v>148</v>
      </c>
      <c r="C187" s="52">
        <v>250000</v>
      </c>
      <c r="D187" s="14"/>
    </row>
    <row r="188" spans="2:4" s="2" customFormat="1" ht="12" hidden="1" customHeight="1" x14ac:dyDescent="0.2">
      <c r="B188" s="42" t="s">
        <v>149</v>
      </c>
      <c r="C188" s="52">
        <v>250000</v>
      </c>
      <c r="D188" s="14"/>
    </row>
    <row r="189" spans="2:4" s="2" customFormat="1" ht="12" hidden="1" customHeight="1" x14ac:dyDescent="0.2">
      <c r="B189" s="42" t="s">
        <v>150</v>
      </c>
      <c r="C189" s="52">
        <v>250000</v>
      </c>
      <c r="D189" s="14"/>
    </row>
    <row r="190" spans="2:4" s="2" customFormat="1" ht="12" hidden="1" customHeight="1" x14ac:dyDescent="0.2">
      <c r="B190" s="42" t="s">
        <v>151</v>
      </c>
      <c r="C190" s="52">
        <v>250000</v>
      </c>
      <c r="D190" s="14"/>
    </row>
    <row r="191" spans="2:4" s="2" customFormat="1" ht="12" hidden="1" customHeight="1" x14ac:dyDescent="0.2">
      <c r="B191" s="42" t="s">
        <v>152</v>
      </c>
      <c r="C191" s="52">
        <v>250000</v>
      </c>
      <c r="D191" s="14"/>
    </row>
    <row r="192" spans="2:4" s="2" customFormat="1" ht="12" hidden="1" customHeight="1" x14ac:dyDescent="0.2">
      <c r="B192" s="7" t="s">
        <v>153</v>
      </c>
      <c r="C192" s="52">
        <v>250000</v>
      </c>
      <c r="D192" s="14"/>
    </row>
    <row r="193" spans="1:55" s="2" customFormat="1" ht="12" hidden="1" customHeight="1" x14ac:dyDescent="0.2">
      <c r="B193" s="7" t="s">
        <v>154</v>
      </c>
      <c r="C193" s="52">
        <v>250000</v>
      </c>
      <c r="D193" s="14"/>
    </row>
    <row r="194" spans="1:55" s="2" customFormat="1" ht="12" hidden="1" customHeight="1" x14ac:dyDescent="0.2">
      <c r="B194" s="7" t="s">
        <v>155</v>
      </c>
      <c r="C194" s="52">
        <v>250000</v>
      </c>
      <c r="D194" s="14"/>
    </row>
    <row r="195" spans="1:55" s="2" customFormat="1" ht="12" hidden="1" customHeight="1" x14ac:dyDescent="0.2">
      <c r="B195" s="7" t="s">
        <v>156</v>
      </c>
      <c r="C195" s="52">
        <v>250000</v>
      </c>
      <c r="D195" s="14"/>
    </row>
    <row r="196" spans="1:55" s="2" customFormat="1" ht="12" hidden="1" customHeight="1" x14ac:dyDescent="0.2">
      <c r="B196" s="7" t="s">
        <v>157</v>
      </c>
      <c r="C196" s="52">
        <v>250000</v>
      </c>
      <c r="D196" s="14"/>
    </row>
    <row r="197" spans="1:55" s="2" customFormat="1" ht="12" hidden="1" customHeight="1" x14ac:dyDescent="0.2">
      <c r="B197" s="7" t="s">
        <v>158</v>
      </c>
      <c r="C197" s="52">
        <v>250000</v>
      </c>
      <c r="D197" s="14"/>
    </row>
    <row r="198" spans="1:55" s="2" customFormat="1" ht="12" hidden="1" customHeight="1" x14ac:dyDescent="0.2">
      <c r="B198" s="7" t="s">
        <v>159</v>
      </c>
      <c r="C198" s="52">
        <v>250000</v>
      </c>
      <c r="D198" s="14"/>
    </row>
    <row r="199" spans="1:55" s="2" customFormat="1" ht="12" hidden="1" customHeight="1" x14ac:dyDescent="0.2">
      <c r="B199" s="7" t="s">
        <v>160</v>
      </c>
      <c r="C199" s="52">
        <v>250000</v>
      </c>
      <c r="D199" s="14"/>
    </row>
    <row r="200" spans="1:55" s="2" customFormat="1" ht="12" x14ac:dyDescent="0.2">
      <c r="B200" s="16" t="s">
        <v>161</v>
      </c>
      <c r="C200" s="58"/>
      <c r="D200" s="14"/>
    </row>
    <row r="201" spans="1:55" s="2" customFormat="1" ht="12.75" thickBot="1" x14ac:dyDescent="0.25">
      <c r="B201" s="7" t="s">
        <v>162</v>
      </c>
      <c r="C201" s="45">
        <v>5250000</v>
      </c>
      <c r="D201" s="24">
        <f>1186379.77+34319.29+85750.91+243449.94+62880+185364.84+30226.86+30132.27+11940+28912.41+52341.3+264180+21775+52084.14+50970.32</f>
        <v>2340707.0499999998</v>
      </c>
    </row>
    <row r="202" spans="1:55" s="2" customFormat="1" ht="12.75" thickTop="1" x14ac:dyDescent="0.2">
      <c r="B202" s="34" t="s">
        <v>163</v>
      </c>
      <c r="C202" s="32">
        <f>+C201</f>
        <v>5250000</v>
      </c>
      <c r="D202" s="32">
        <f t="shared" ref="D202" si="19">+D201</f>
        <v>2340707.0499999998</v>
      </c>
    </row>
    <row r="203" spans="1:55" s="3" customFormat="1" ht="12" x14ac:dyDescent="0.2">
      <c r="A203" s="2"/>
      <c r="B203" s="2"/>
      <c r="C203" s="46"/>
      <c r="D203" s="1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</row>
    <row r="204" spans="1:55" s="2" customFormat="1" ht="12.75" thickBot="1" x14ac:dyDescent="0.25">
      <c r="B204" s="34" t="s">
        <v>164</v>
      </c>
      <c r="C204" s="45">
        <f>+C202+C180+C176+C170+C161+C154+C148+C142+C127+C122+C114+C108+C100+C68+C57+C54+C50+C45</f>
        <v>1440631671.9920683</v>
      </c>
      <c r="D204" s="45">
        <f>+D202+D180+D176+D170+D161+D154+D148+D142+D127+D122+D114+D108+D100+D68+D57+D54+D50+D45</f>
        <v>1204418763.95</v>
      </c>
    </row>
    <row r="205" spans="1:55" s="2" customFormat="1" ht="12.75" thickTop="1" x14ac:dyDescent="0.2">
      <c r="C205" s="60"/>
      <c r="D205" s="14"/>
    </row>
    <row r="206" spans="1:55" s="2" customFormat="1" ht="12.75" thickBot="1" x14ac:dyDescent="0.25">
      <c r="B206" s="34" t="s">
        <v>32</v>
      </c>
      <c r="C206" s="47">
        <f>+C38</f>
        <v>1440631672.1200001</v>
      </c>
      <c r="D206" s="47">
        <f>+D38</f>
        <v>1243476670.1299999</v>
      </c>
    </row>
    <row r="207" spans="1:55" s="2" customFormat="1" ht="12.75" thickTop="1" x14ac:dyDescent="0.2">
      <c r="B207" s="34" t="s">
        <v>164</v>
      </c>
      <c r="C207" s="48">
        <f>+C204</f>
        <v>1440631671.9920683</v>
      </c>
      <c r="D207" s="48">
        <f>+D204</f>
        <v>1204418763.95</v>
      </c>
    </row>
    <row r="208" spans="1:55" x14ac:dyDescent="0.25">
      <c r="B208" s="23" t="s">
        <v>165</v>
      </c>
      <c r="D208" s="48">
        <f>+D206-D207</f>
        <v>39057906.179999828</v>
      </c>
    </row>
  </sheetData>
  <mergeCells count="30">
    <mergeCell ref="B43:C43"/>
    <mergeCell ref="B47:C47"/>
    <mergeCell ref="B52:C52"/>
    <mergeCell ref="B59:C59"/>
    <mergeCell ref="B131:C131"/>
    <mergeCell ref="B144:C144"/>
    <mergeCell ref="B149:C149"/>
    <mergeCell ref="B150:C150"/>
    <mergeCell ref="B69:C69"/>
    <mergeCell ref="B70:C70"/>
    <mergeCell ref="B101:C101"/>
    <mergeCell ref="B110:C110"/>
    <mergeCell ref="B116:C116"/>
    <mergeCell ref="B124:C124"/>
    <mergeCell ref="B181:C181"/>
    <mergeCell ref="B9:D9"/>
    <mergeCell ref="B42:D42"/>
    <mergeCell ref="B3:D3"/>
    <mergeCell ref="B4:D4"/>
    <mergeCell ref="B5:D5"/>
    <mergeCell ref="B6:D6"/>
    <mergeCell ref="B7:D7"/>
    <mergeCell ref="B155:C155"/>
    <mergeCell ref="B156:C156"/>
    <mergeCell ref="B164:C164"/>
    <mergeCell ref="B165:C165"/>
    <mergeCell ref="B172:C172"/>
    <mergeCell ref="B178:C178"/>
    <mergeCell ref="B128:C128"/>
    <mergeCell ref="B130:C1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Liquidación Presupuetaria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2021-10-08T19:37:58Z</dcterms:created>
  <dcterms:modified xsi:type="dcterms:W3CDTF">2021-10-08T23:11:12Z</dcterms:modified>
</cp:coreProperties>
</file>