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otog\Desktop\Presupuestos Anuales y Liquidaciones\Red de Transparencia\"/>
    </mc:Choice>
  </mc:AlternateContent>
  <bookViews>
    <workbookView xWindow="0" yWindow="0" windowWidth="20490" windowHeight="7455"/>
  </bookViews>
  <sheets>
    <sheet name="Liquidación Presupuestaria 201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4" i="1" l="1"/>
  <c r="D212" i="1"/>
  <c r="D209" i="1"/>
  <c r="C209" i="1"/>
  <c r="D205" i="1"/>
  <c r="C205" i="1"/>
  <c r="D201" i="1"/>
  <c r="C201" i="1"/>
  <c r="C197" i="1"/>
  <c r="D196" i="1"/>
  <c r="D197" i="1" s="1"/>
  <c r="D193" i="1"/>
  <c r="C193" i="1"/>
  <c r="D189" i="1"/>
  <c r="C189" i="1"/>
  <c r="D184" i="1"/>
  <c r="C184" i="1"/>
  <c r="D180" i="1"/>
  <c r="C180" i="1"/>
  <c r="D176" i="1"/>
  <c r="C176" i="1"/>
  <c r="D170" i="1"/>
  <c r="C170" i="1"/>
  <c r="D166" i="1"/>
  <c r="C166" i="1"/>
  <c r="C161" i="1"/>
  <c r="D159" i="1"/>
  <c r="D156" i="1"/>
  <c r="C156" i="1"/>
  <c r="D152" i="1"/>
  <c r="C152" i="1"/>
  <c r="D148" i="1"/>
  <c r="C148" i="1"/>
  <c r="D143" i="1"/>
  <c r="C143" i="1"/>
  <c r="D139" i="1"/>
  <c r="C139" i="1"/>
  <c r="C135" i="1"/>
  <c r="D130" i="1"/>
  <c r="D129" i="1"/>
  <c r="D135" i="1" s="1"/>
  <c r="D124" i="1"/>
  <c r="C124" i="1"/>
  <c r="C120" i="1"/>
  <c r="D119" i="1"/>
  <c r="D120" i="1" s="1"/>
  <c r="C116" i="1"/>
  <c r="D115" i="1"/>
  <c r="D114" i="1"/>
  <c r="D116" i="1" s="1"/>
  <c r="D112" i="1"/>
  <c r="C112" i="1"/>
  <c r="D109" i="1"/>
  <c r="C109" i="1"/>
  <c r="C103" i="1"/>
  <c r="D101" i="1"/>
  <c r="C101" i="1"/>
  <c r="D95" i="1"/>
  <c r="C93" i="1"/>
  <c r="D89" i="1"/>
  <c r="D82" i="1"/>
  <c r="D81" i="1"/>
  <c r="C80" i="1"/>
  <c r="D72" i="1"/>
  <c r="D71" i="1"/>
  <c r="D69" i="1"/>
  <c r="D66" i="1"/>
  <c r="D64" i="1"/>
  <c r="C64" i="1"/>
  <c r="C84" i="1" s="1"/>
  <c r="D49" i="1"/>
  <c r="D47" i="1"/>
  <c r="C44" i="1"/>
  <c r="D42" i="1"/>
  <c r="D41" i="1"/>
  <c r="D40" i="1"/>
  <c r="D37" i="1"/>
  <c r="D29" i="1"/>
  <c r="C29" i="1"/>
  <c r="C30" i="1" s="1"/>
  <c r="C220" i="1" s="1"/>
  <c r="D28" i="1"/>
  <c r="D27" i="1"/>
  <c r="C25" i="1"/>
  <c r="D20" i="1"/>
  <c r="D19" i="1"/>
  <c r="D17" i="1"/>
  <c r="D14" i="1"/>
  <c r="D8" i="1"/>
  <c r="D25" i="1" s="1"/>
  <c r="D30" i="1" s="1"/>
  <c r="D220" i="1" s="1"/>
  <c r="D84" i="1" l="1"/>
  <c r="D103" i="1"/>
  <c r="D161" i="1"/>
  <c r="C217" i="1"/>
  <c r="C218" i="1" s="1"/>
  <c r="C221" i="1" s="1"/>
  <c r="D44" i="1"/>
  <c r="D214" i="1"/>
  <c r="D217" i="1" s="1"/>
  <c r="D218" i="1" l="1"/>
  <c r="D221" i="1" s="1"/>
</calcChain>
</file>

<file path=xl/sharedStrings.xml><?xml version="1.0" encoding="utf-8"?>
<sst xmlns="http://schemas.openxmlformats.org/spreadsheetml/2006/main" count="196" uniqueCount="148">
  <si>
    <t>Liquidación Presupuestaria 2017</t>
  </si>
  <si>
    <t>Ingresos  (colones)</t>
  </si>
  <si>
    <t>Detalle</t>
  </si>
  <si>
    <t xml:space="preserve">Monto  Aprobado </t>
  </si>
  <si>
    <t xml:space="preserve"> Ejecutado a Diciembre 2017</t>
  </si>
  <si>
    <t>INGRESOS ORDINARIOS</t>
  </si>
  <si>
    <t>CUOTAS TOTAL LICENCIADOS, POSTGRADOS Y BACHILLERES</t>
  </si>
  <si>
    <t>INCORPORACIONES</t>
  </si>
  <si>
    <t>REGISTRO DE POST GRADOS</t>
  </si>
  <si>
    <t xml:space="preserve">CONSTANCIAS Y CERTIFICACIONES, FOTOCOPIAS </t>
  </si>
  <si>
    <t xml:space="preserve">VENTA DE IDENTIFICACIONES </t>
  </si>
  <si>
    <t>FORMULARIOS DE ARMAS</t>
  </si>
  <si>
    <t xml:space="preserve">FORMULARIOS DE GUARDERIAS </t>
  </si>
  <si>
    <t xml:space="preserve">TALLERES DE CAPACITACIÓN </t>
  </si>
  <si>
    <t>CIREC</t>
  </si>
  <si>
    <t>SELLO DE AGUA</t>
  </si>
  <si>
    <t>FOTOCOPIAS</t>
  </si>
  <si>
    <t>ACTIVIDADES SOCIALES</t>
  </si>
  <si>
    <t>REINCORPORACIONES</t>
  </si>
  <si>
    <t>SEMINARIO ULAPSI PARAGUAY</t>
  </si>
  <si>
    <t>CONGRESO ULAPSI 2018</t>
  </si>
  <si>
    <t>TRASLADO INVERSIÓN CAPITAL PARA PROGRAMA DE BENEFICIOS</t>
  </si>
  <si>
    <t xml:space="preserve">INGRESO EXTRAORDINARIO LIBERACIÓN DE EMBARGO </t>
  </si>
  <si>
    <t xml:space="preserve">INGRESO EXTRAORDINARIO SUBEJECUTORIA PERIODO ANTERIOR </t>
  </si>
  <si>
    <t>TOTAL INGRESOS ORDINARIOS</t>
  </si>
  <si>
    <t xml:space="preserve">OTROS INGRESOS </t>
  </si>
  <si>
    <t>INTERESES SOBRE INVERSIONES COLEGIO</t>
  </si>
  <si>
    <t>INTERESES SOBRE CUENTAS CORRIENTES</t>
  </si>
  <si>
    <t>TOTAL OTROS INGRESOS</t>
  </si>
  <si>
    <t xml:space="preserve">TOTAL INGRESOS </t>
  </si>
  <si>
    <t>Egresos (colones)</t>
  </si>
  <si>
    <t xml:space="preserve"> Ejecutado a Diciembre   2017</t>
  </si>
  <si>
    <t>COSTO DE INGRESOS ADMINISTRATIVOS</t>
  </si>
  <si>
    <t xml:space="preserve">FORMULARIOS </t>
  </si>
  <si>
    <t xml:space="preserve"> CAPACITACIÓN Y DESARROLLO</t>
  </si>
  <si>
    <t xml:space="preserve">1. Talleres de Capacitación </t>
  </si>
  <si>
    <t xml:space="preserve">2. Talleres Subsidio Capacitación </t>
  </si>
  <si>
    <t>3. Actividades Gremiales, Día del Psicólogo y 40 Aniversario</t>
  </si>
  <si>
    <t>6. Seminario ULAPSI Paraguay</t>
  </si>
  <si>
    <t>TOTAL COSTOS POR INGRESOS ADMINISTRATIVOS</t>
  </si>
  <si>
    <t>PROGRAMA DE ADMINISTRACIÓN</t>
  </si>
  <si>
    <t xml:space="preserve">PLANILLA </t>
  </si>
  <si>
    <t xml:space="preserve">GARANTIAS SOCIALES </t>
  </si>
  <si>
    <t xml:space="preserve">PRESTACIONES LEGALES (VACACIONES - CESANTIA - PREAVISO)                </t>
  </si>
  <si>
    <t>DECIMO TERCER MES</t>
  </si>
  <si>
    <t>AGUA</t>
  </si>
  <si>
    <t>ELECTRICIDAD</t>
  </si>
  <si>
    <t>TELEFONO</t>
  </si>
  <si>
    <t>ICE (INTERNET Y AFINES)</t>
  </si>
  <si>
    <t>SERVICIO CORREOS Y AFINES</t>
  </si>
  <si>
    <t>POLIZA RIESGOS DEL TRABAJO</t>
  </si>
  <si>
    <t xml:space="preserve">POLIZA DE INCENDIO </t>
  </si>
  <si>
    <t xml:space="preserve">POLIZA DE EQUIPO ELECTRONICO </t>
  </si>
  <si>
    <t>POLIZA DE DINERO Y VALORES EN TRANSITO</t>
  </si>
  <si>
    <t>POLIZA DE RESPONSABILIDAD CIVIL</t>
  </si>
  <si>
    <t>POLIZA FIDELIDAD</t>
  </si>
  <si>
    <t>MATERIALES  ARTICULOS DE LIMPIEZA Y COCINA</t>
  </si>
  <si>
    <t>SERVICIOS DE MONITOREO Y SEGURIDAD</t>
  </si>
  <si>
    <t>OTROS SERVICIOS EVENTUALES Mod #2</t>
  </si>
  <si>
    <t>MANTENIMIENTO DE MOBILIARIO Y EQUIPO</t>
  </si>
  <si>
    <t xml:space="preserve">PAPELERIA Y UTILES DE OFICINA </t>
  </si>
  <si>
    <t>IMPUESTOS BIENES INMUEBLES</t>
  </si>
  <si>
    <t>COMISIONES Y OTROS CARGOS FINANCIEROS</t>
  </si>
  <si>
    <t>CAPACITACION AL PERSONAL</t>
  </si>
  <si>
    <t>UNIFORMES</t>
  </si>
  <si>
    <t>VIATICOS Y SERVICIOS DE TRANSPORTES</t>
  </si>
  <si>
    <t>GASTOS DE OPERACIÓN</t>
  </si>
  <si>
    <t>ACTIVIDAD ANUAL FUNCIONARIOS</t>
  </si>
  <si>
    <t xml:space="preserve">BOTIQUIN </t>
  </si>
  <si>
    <t xml:space="preserve">TRAMITES LEGALES </t>
  </si>
  <si>
    <t xml:space="preserve">GUARDADOCUMENTOS </t>
  </si>
  <si>
    <t>SERVICIO DE LIMPIEZA</t>
  </si>
  <si>
    <t xml:space="preserve">SERVICIO DE MANTENIMIENTO ZONAS VERDES </t>
  </si>
  <si>
    <t xml:space="preserve">PROCESO RECLUTAMIENTO </t>
  </si>
  <si>
    <t>CUOTA CRÉDITO DE CONSTRUCCIÓN Mod #2</t>
  </si>
  <si>
    <t>CONTRATOS PERMANENTES TI</t>
  </si>
  <si>
    <t xml:space="preserve">COMUNICACIÓN E IMAGÉN </t>
  </si>
  <si>
    <t xml:space="preserve">CONVENIOS  INSTITUCIONALES </t>
  </si>
  <si>
    <t xml:space="preserve">TOTAL PROGRAMA ADMINISTRACIÓN </t>
  </si>
  <si>
    <t>PROGRAMA  JUNTA DIRECTIVA</t>
  </si>
  <si>
    <t>ASESORIA LEGAL</t>
  </si>
  <si>
    <t>DEFENSA PROFESIONAL</t>
  </si>
  <si>
    <t>AUDITORIA EXTERNA</t>
  </si>
  <si>
    <t xml:space="preserve">ASESORÍA DIRECCIÓN DE PROYECTO EDIFICIO </t>
  </si>
  <si>
    <t>FEDERACIONES Y ASOCIACIONES</t>
  </si>
  <si>
    <r>
      <t xml:space="preserve">ALIMENTACION </t>
    </r>
    <r>
      <rPr>
        <b/>
        <sz val="9"/>
        <rFont val="Arial"/>
        <family val="2"/>
      </rPr>
      <t xml:space="preserve"> </t>
    </r>
  </si>
  <si>
    <r>
      <t xml:space="preserve">IMPRESOS Y PUBLICACIONES  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Mod#1</t>
    </r>
  </si>
  <si>
    <t>SUSCRIPCIONES</t>
  </si>
  <si>
    <t xml:space="preserve">GASTOS DE REPRESENTACIÓN </t>
  </si>
  <si>
    <t>DIETAS JUNTA DIRECTIVA</t>
  </si>
  <si>
    <t xml:space="preserve">DIETAS TRIBUNAL DE HONOR </t>
  </si>
  <si>
    <t>GASTOS DE OPERACIÓN TRIBUNAL DE HONOR</t>
  </si>
  <si>
    <t>PUBLICACIONES  TRIBUNAL DE HONOR</t>
  </si>
  <si>
    <t xml:space="preserve">ASESORÍA LEGAL TRIBUNAL DE HONOR   </t>
  </si>
  <si>
    <t>PROYECTOS Mod#1</t>
  </si>
  <si>
    <t xml:space="preserve">PROYECCIÒN SOCIAL </t>
  </si>
  <si>
    <t xml:space="preserve">TOTAL PROGRAMA JUNTA DIRECTIVA </t>
  </si>
  <si>
    <t xml:space="preserve">PROGRAMA DE ASAMBLEAS </t>
  </si>
  <si>
    <t xml:space="preserve">DIVULGACIÓN o PUBLICACIONES </t>
  </si>
  <si>
    <t>ALIMENTACION ASAMBLEISTAS</t>
  </si>
  <si>
    <t>PAPELERIA Y MATERIALES PARA ASAMBLEA</t>
  </si>
  <si>
    <t xml:space="preserve">TOTAL PROGRAMA ASAMBLEAS </t>
  </si>
  <si>
    <t>PROGRAMA DE INSTALACIONES FISICAS DEL COLEGIO</t>
  </si>
  <si>
    <t>MANTENIMIENTO DE  TERRENO - EDIFICIOS Y SALÓN</t>
  </si>
  <si>
    <t xml:space="preserve">TOTAL PROGRAMA INSTALACIONES FISICAS DEL COLEGIO </t>
  </si>
  <si>
    <t>PROGRAMA DE ACTIVOS</t>
  </si>
  <si>
    <t>EQUIPO TECNOLOGÍA DE INFORMACIÓN</t>
  </si>
  <si>
    <t>MOBILIARIO Y EQUIPO OFICINA</t>
  </si>
  <si>
    <t xml:space="preserve">TOTAL PROGRAMA ACTIVOS FIJOS </t>
  </si>
  <si>
    <t xml:space="preserve">PROGRAMA INVERSIÓN  DE CAPITAL </t>
  </si>
  <si>
    <t xml:space="preserve">DESARROLLO PROYECTO CONSTRUCIÓN </t>
  </si>
  <si>
    <t xml:space="preserve">TOTAL PROGRAMA INVERSIÓN DE CAPITAL </t>
  </si>
  <si>
    <t>PROGRAMA DE BENEFICIOS</t>
  </si>
  <si>
    <t xml:space="preserve">TOTAL PROGRAMA DE BENEFICIOS </t>
  </si>
  <si>
    <t>FISCALÍA</t>
  </si>
  <si>
    <t>VIATICOS</t>
  </si>
  <si>
    <t xml:space="preserve">CAPACITACIÓN DE PERSONAL FISCALÍA </t>
  </si>
  <si>
    <t>DIVULGACIÓN</t>
  </si>
  <si>
    <t xml:space="preserve">SERVICIOS PROFESIONALES INVESTIGADOR /LEGALES </t>
  </si>
  <si>
    <t xml:space="preserve">ASOCIACIÓN DE FISCALÍAS DE COLEGIOS </t>
  </si>
  <si>
    <t>SUB TOTAL PROGRAMA</t>
  </si>
  <si>
    <t>ADOPCIONES</t>
  </si>
  <si>
    <t>CENTROS DE CUIDO</t>
  </si>
  <si>
    <t>ASUNTOS CURRICULARES</t>
  </si>
  <si>
    <t>PROYECTO</t>
  </si>
  <si>
    <t>CAPACITACIÓN</t>
  </si>
  <si>
    <t>GASTOS OPERACIÓN</t>
  </si>
  <si>
    <t>SUB TOTAL DEL PROGRAMA</t>
  </si>
  <si>
    <t xml:space="preserve">COMITÉ CONSULTIVO </t>
  </si>
  <si>
    <t>COMISIÓN DE VALORES</t>
  </si>
  <si>
    <t>PROYECTOS</t>
  </si>
  <si>
    <t xml:space="preserve">COMISIÓN DE IDONEIDAD MENTAL </t>
  </si>
  <si>
    <t>REGIONALIZACIÓN</t>
  </si>
  <si>
    <t>GASTOS DE OPERACIÓN DIALOGOS REGIONALES YCARE</t>
  </si>
  <si>
    <t>REVISTA COSTARRICENSE DE PSICOLOGÍA</t>
  </si>
  <si>
    <t xml:space="preserve">GASTOS DE OPERACIÓN </t>
  </si>
  <si>
    <t xml:space="preserve">COMISION DE PROYECCIÓN Y ORIENTACIÓN LABORAL </t>
  </si>
  <si>
    <t xml:space="preserve">COMISION INVERSION </t>
  </si>
  <si>
    <t>COMISION CONGRESO ULAPSI 2018</t>
  </si>
  <si>
    <t xml:space="preserve">COMISION INCORPORACIÓN </t>
  </si>
  <si>
    <t xml:space="preserve">COMISION PROMOCIÓN DE LA SALUD MENTAL </t>
  </si>
  <si>
    <t xml:space="preserve">Plan de Trabajo </t>
  </si>
  <si>
    <t>COMISION PSICOLOGIA DEL DEPORTE</t>
  </si>
  <si>
    <t>COMISION DE SEMANA NACIONAL DE PSICOLOGÍA</t>
  </si>
  <si>
    <t xml:space="preserve">COMISION DE DERECHOS HUMANOS </t>
  </si>
  <si>
    <t>COMISION DE VINCULO HUMANO ANIMAL</t>
  </si>
  <si>
    <t xml:space="preserve">TOTAL PROGRAMAS ESPECÍFICOS </t>
  </si>
  <si>
    <t xml:space="preserve">TOTAL EGRESOS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</si>
</sst>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(* #,##0.00_);_(* \(#,##0.00\);_(* \-??_);_(@_)"/>
    <numFmt numFmtId="165" formatCode="_-* #,##0.00\ _€_-;\-* #,##0.00\ _€_-;_-* &quot;-&quot;??\ _€_-;_-@_-"/>
    <numFmt numFmtId="166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2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BFBFBF"/>
        <bgColor rgb="FFFFFFCC"/>
      </patternFill>
    </fill>
    <fill>
      <patternFill patternType="solid">
        <fgColor theme="4" tint="-0.249977111117893"/>
        <bgColor rgb="FFFFFFCC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2" fillId="2" borderId="0" xfId="0" applyFont="1" applyFill="1"/>
    <xf numFmtId="0" fontId="5" fillId="4" borderId="0" xfId="0" applyFont="1" applyFill="1" applyBorder="1" applyAlignment="1">
      <alignment horizontal="center" wrapText="1"/>
    </xf>
    <xf numFmtId="0" fontId="6" fillId="2" borderId="0" xfId="0" applyFont="1" applyFill="1" applyBorder="1"/>
    <xf numFmtId="0" fontId="2" fillId="0" borderId="0" xfId="0" applyFont="1" applyFill="1"/>
    <xf numFmtId="0" fontId="2" fillId="0" borderId="1" xfId="0" applyFont="1" applyFill="1" applyBorder="1"/>
    <xf numFmtId="164" fontId="2" fillId="0" borderId="1" xfId="1" applyNumberFormat="1" applyFont="1" applyFill="1" applyBorder="1" applyAlignment="1" applyProtection="1">
      <alignment horizontal="right"/>
    </xf>
    <xf numFmtId="0" fontId="2" fillId="0" borderId="1" xfId="0" applyFont="1" applyFill="1" applyBorder="1" applyAlignment="1"/>
    <xf numFmtId="164" fontId="2" fillId="0" borderId="1" xfId="1" applyNumberFormat="1" applyFont="1" applyFill="1" applyBorder="1" applyAlignment="1" applyProtection="1">
      <alignment horizontal="right" wrapText="1"/>
    </xf>
    <xf numFmtId="165" fontId="2" fillId="0" borderId="0" xfId="0" applyNumberFormat="1" applyFont="1" applyFill="1"/>
    <xf numFmtId="16" fontId="2" fillId="0" borderId="0" xfId="0" applyNumberFormat="1" applyFont="1" applyFill="1"/>
    <xf numFmtId="164" fontId="2" fillId="0" borderId="2" xfId="1" applyNumberFormat="1" applyFont="1" applyFill="1" applyBorder="1" applyAlignment="1" applyProtection="1">
      <alignment horizontal="right"/>
    </xf>
    <xf numFmtId="49" fontId="6" fillId="0" borderId="3" xfId="0" applyNumberFormat="1" applyFont="1" applyFill="1" applyBorder="1"/>
    <xf numFmtId="164" fontId="6" fillId="0" borderId="1" xfId="1" applyNumberFormat="1" applyFont="1" applyFill="1" applyBorder="1" applyAlignment="1" applyProtection="1">
      <alignment horizontal="right"/>
    </xf>
    <xf numFmtId="0" fontId="6" fillId="0" borderId="0" xfId="0" applyFont="1" applyFill="1" applyBorder="1"/>
    <xf numFmtId="164" fontId="2" fillId="0" borderId="4" xfId="1" applyNumberFormat="1" applyFont="1" applyFill="1" applyBorder="1" applyAlignment="1" applyProtection="1">
      <alignment horizontal="right"/>
    </xf>
    <xf numFmtId="164" fontId="2" fillId="0" borderId="5" xfId="1" applyNumberFormat="1" applyFont="1" applyFill="1" applyBorder="1" applyAlignment="1" applyProtection="1">
      <alignment horizontal="right"/>
    </xf>
    <xf numFmtId="0" fontId="2" fillId="0" borderId="3" xfId="0" applyFont="1" applyFill="1" applyBorder="1"/>
    <xf numFmtId="164" fontId="2" fillId="0" borderId="6" xfId="1" applyNumberFormat="1" applyFont="1" applyFill="1" applyBorder="1" applyAlignment="1" applyProtection="1">
      <alignment horizontal="right"/>
    </xf>
    <xf numFmtId="0" fontId="6" fillId="0" borderId="3" xfId="0" applyFont="1" applyFill="1" applyBorder="1"/>
    <xf numFmtId="0" fontId="6" fillId="5" borderId="3" xfId="0" applyFont="1" applyFill="1" applyBorder="1"/>
    <xf numFmtId="164" fontId="6" fillId="5" borderId="1" xfId="1" applyNumberFormat="1" applyFont="1" applyFill="1" applyBorder="1" applyAlignment="1" applyProtection="1">
      <alignment horizontal="right"/>
    </xf>
    <xf numFmtId="164" fontId="6" fillId="2" borderId="0" xfId="1" applyNumberFormat="1" applyFont="1" applyFill="1" applyBorder="1" applyAlignment="1" applyProtection="1">
      <alignment horizontal="right"/>
    </xf>
    <xf numFmtId="0" fontId="6" fillId="2" borderId="0" xfId="0" applyFont="1" applyFill="1" applyBorder="1" applyAlignment="1">
      <alignment wrapText="1"/>
    </xf>
    <xf numFmtId="0" fontId="7" fillId="0" borderId="1" xfId="0" applyFont="1" applyFill="1" applyBorder="1" applyAlignment="1"/>
    <xf numFmtId="164" fontId="2" fillId="0" borderId="0" xfId="0" applyNumberFormat="1" applyFont="1" applyFill="1"/>
    <xf numFmtId="0" fontId="6" fillId="0" borderId="1" xfId="0" applyFont="1" applyFill="1" applyBorder="1"/>
    <xf numFmtId="164" fontId="6" fillId="0" borderId="0" xfId="1" applyNumberFormat="1" applyFont="1" applyFill="1" applyBorder="1" applyAlignment="1" applyProtection="1">
      <alignment horizontal="right"/>
    </xf>
    <xf numFmtId="164" fontId="2" fillId="2" borderId="0" xfId="1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>
      <alignment vertical="center"/>
    </xf>
    <xf numFmtId="4" fontId="8" fillId="0" borderId="0" xfId="0" applyNumberFormat="1" applyFont="1" applyBorder="1" applyAlignment="1">
      <alignment horizontal="center"/>
    </xf>
    <xf numFmtId="164" fontId="2" fillId="0" borderId="2" xfId="1" applyNumberFormat="1" applyFont="1" applyFill="1" applyBorder="1" applyAlignment="1" applyProtection="1">
      <alignment horizontal="right" wrapText="1"/>
    </xf>
    <xf numFmtId="0" fontId="6" fillId="2" borderId="1" xfId="0" applyFont="1" applyFill="1" applyBorder="1"/>
    <xf numFmtId="164" fontId="6" fillId="2" borderId="1" xfId="1" applyNumberFormat="1" applyFont="1" applyFill="1" applyBorder="1" applyAlignment="1" applyProtection="1">
      <alignment horizontal="right" wrapText="1"/>
    </xf>
    <xf numFmtId="0" fontId="2" fillId="0" borderId="0" xfId="0" applyFont="1" applyFill="1" applyBorder="1"/>
    <xf numFmtId="164" fontId="2" fillId="0" borderId="0" xfId="1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>
      <alignment wrapText="1"/>
    </xf>
    <xf numFmtId="0" fontId="2" fillId="2" borderId="1" xfId="0" applyFont="1" applyFill="1" applyBorder="1"/>
    <xf numFmtId="164" fontId="2" fillId="2" borderId="1" xfId="1" applyNumberFormat="1" applyFont="1" applyFill="1" applyBorder="1" applyAlignment="1" applyProtection="1">
      <alignment horizontal="right" wrapText="1"/>
    </xf>
    <xf numFmtId="164" fontId="2" fillId="2" borderId="2" xfId="1" applyNumberFormat="1" applyFont="1" applyFill="1" applyBorder="1" applyAlignment="1" applyProtection="1">
      <alignment horizontal="right" wrapText="1"/>
    </xf>
    <xf numFmtId="165" fontId="2" fillId="2" borderId="0" xfId="0" applyNumberFormat="1" applyFont="1" applyFill="1"/>
    <xf numFmtId="164" fontId="6" fillId="2" borderId="1" xfId="0" applyNumberFormat="1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/>
    </xf>
    <xf numFmtId="164" fontId="6" fillId="0" borderId="1" xfId="1" applyNumberFormat="1" applyFont="1" applyFill="1" applyBorder="1" applyAlignment="1" applyProtection="1">
      <alignment horizontal="right" wrapText="1"/>
    </xf>
    <xf numFmtId="0" fontId="6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164" fontId="6" fillId="2" borderId="0" xfId="1" applyNumberFormat="1" applyFont="1" applyFill="1" applyBorder="1" applyAlignment="1" applyProtection="1">
      <alignment horizontal="right" wrapText="1"/>
    </xf>
    <xf numFmtId="0" fontId="2" fillId="0" borderId="2" xfId="0" applyFont="1" applyFill="1" applyBorder="1"/>
    <xf numFmtId="164" fontId="6" fillId="0" borderId="0" xfId="1" applyNumberFormat="1" applyFont="1" applyFill="1" applyBorder="1" applyAlignment="1" applyProtection="1">
      <alignment horizontal="right" wrapText="1"/>
    </xf>
    <xf numFmtId="0" fontId="4" fillId="3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left"/>
    </xf>
    <xf numFmtId="164" fontId="2" fillId="0" borderId="7" xfId="1" applyNumberFormat="1" applyFont="1" applyFill="1" applyBorder="1" applyAlignment="1" applyProtection="1">
      <alignment horizontal="right" wrapText="1"/>
    </xf>
    <xf numFmtId="0" fontId="6" fillId="0" borderId="1" xfId="0" applyFont="1" applyFill="1" applyBorder="1" applyAlignment="1">
      <alignment horizontal="left"/>
    </xf>
    <xf numFmtId="164" fontId="6" fillId="0" borderId="6" xfId="1" applyNumberFormat="1" applyFont="1" applyFill="1" applyBorder="1" applyAlignment="1" applyProtection="1">
      <alignment horizontal="right" wrapText="1"/>
    </xf>
    <xf numFmtId="0" fontId="6" fillId="0" borderId="0" xfId="0" applyFont="1" applyFill="1" applyBorder="1" applyAlignment="1">
      <alignment horizontal="left"/>
    </xf>
    <xf numFmtId="164" fontId="6" fillId="0" borderId="8" xfId="1" applyNumberFormat="1" applyFont="1" applyFill="1" applyBorder="1" applyAlignment="1" applyProtection="1">
      <alignment horizontal="right" wrapText="1"/>
    </xf>
    <xf numFmtId="164" fontId="6" fillId="0" borderId="7" xfId="1" applyNumberFormat="1" applyFont="1" applyFill="1" applyBorder="1" applyAlignment="1" applyProtection="1">
      <alignment horizontal="right" wrapText="1"/>
    </xf>
    <xf numFmtId="0" fontId="6" fillId="5" borderId="1" xfId="0" applyFont="1" applyFill="1" applyBorder="1"/>
    <xf numFmtId="164" fontId="6" fillId="5" borderId="6" xfId="1" applyNumberFormat="1" applyFont="1" applyFill="1" applyBorder="1" applyAlignment="1" applyProtection="1">
      <alignment horizontal="right" wrapText="1"/>
    </xf>
    <xf numFmtId="164" fontId="6" fillId="5" borderId="7" xfId="1" applyNumberFormat="1" applyFont="1" applyFill="1" applyBorder="1" applyAlignment="1" applyProtection="1">
      <alignment horizontal="right"/>
    </xf>
    <xf numFmtId="164" fontId="6" fillId="5" borderId="6" xfId="1" applyNumberFormat="1" applyFont="1" applyFill="1" applyBorder="1" applyAlignment="1" applyProtection="1">
      <alignment horizontal="right"/>
    </xf>
    <xf numFmtId="166" fontId="5" fillId="0" borderId="0" xfId="0" applyNumberFormat="1" applyFont="1" applyFill="1"/>
    <xf numFmtId="165" fontId="2" fillId="0" borderId="0" xfId="0" applyNumberFormat="1" applyFont="1"/>
    <xf numFmtId="164" fontId="2" fillId="0" borderId="0" xfId="0" applyNumberFormat="1" applyFont="1"/>
    <xf numFmtId="0" fontId="4" fillId="3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29"/>
  <sheetViews>
    <sheetView showGridLines="0" tabSelected="1" workbookViewId="0">
      <selection activeCell="F29" sqref="F29"/>
    </sheetView>
  </sheetViews>
  <sheetFormatPr baseColWidth="10" defaultRowHeight="12" x14ac:dyDescent="0.2"/>
  <cols>
    <col min="1" max="1" width="11.42578125" style="1"/>
    <col min="2" max="2" width="62.7109375" style="1" bestFit="1" customWidth="1"/>
    <col min="3" max="4" width="15.85546875" style="1" customWidth="1"/>
    <col min="5" max="5" width="14.85546875" style="1" bestFit="1" customWidth="1"/>
    <col min="6" max="256" width="11.42578125" style="1"/>
    <col min="257" max="257" width="62.7109375" style="1" bestFit="1" customWidth="1"/>
    <col min="258" max="259" width="15.85546875" style="1" customWidth="1"/>
    <col min="260" max="260" width="14.42578125" style="1" bestFit="1" customWidth="1"/>
    <col min="261" max="261" width="14.85546875" style="1" bestFit="1" customWidth="1"/>
    <col min="262" max="512" width="11.42578125" style="1"/>
    <col min="513" max="513" width="62.7109375" style="1" bestFit="1" customWidth="1"/>
    <col min="514" max="515" width="15.85546875" style="1" customWidth="1"/>
    <col min="516" max="516" width="14.42578125" style="1" bestFit="1" customWidth="1"/>
    <col min="517" max="517" width="14.85546875" style="1" bestFit="1" customWidth="1"/>
    <col min="518" max="768" width="11.42578125" style="1"/>
    <col min="769" max="769" width="62.7109375" style="1" bestFit="1" customWidth="1"/>
    <col min="770" max="771" width="15.85546875" style="1" customWidth="1"/>
    <col min="772" max="772" width="14.42578125" style="1" bestFit="1" customWidth="1"/>
    <col min="773" max="773" width="14.85546875" style="1" bestFit="1" customWidth="1"/>
    <col min="774" max="1024" width="11.42578125" style="1"/>
    <col min="1025" max="1025" width="62.7109375" style="1" bestFit="1" customWidth="1"/>
    <col min="1026" max="1027" width="15.85546875" style="1" customWidth="1"/>
    <col min="1028" max="1028" width="14.42578125" style="1" bestFit="1" customWidth="1"/>
    <col min="1029" max="1029" width="14.85546875" style="1" bestFit="1" customWidth="1"/>
    <col min="1030" max="1280" width="11.42578125" style="1"/>
    <col min="1281" max="1281" width="62.7109375" style="1" bestFit="1" customWidth="1"/>
    <col min="1282" max="1283" width="15.85546875" style="1" customWidth="1"/>
    <col min="1284" max="1284" width="14.42578125" style="1" bestFit="1" customWidth="1"/>
    <col min="1285" max="1285" width="14.85546875" style="1" bestFit="1" customWidth="1"/>
    <col min="1286" max="1536" width="11.42578125" style="1"/>
    <col min="1537" max="1537" width="62.7109375" style="1" bestFit="1" customWidth="1"/>
    <col min="1538" max="1539" width="15.85546875" style="1" customWidth="1"/>
    <col min="1540" max="1540" width="14.42578125" style="1" bestFit="1" customWidth="1"/>
    <col min="1541" max="1541" width="14.85546875" style="1" bestFit="1" customWidth="1"/>
    <col min="1542" max="1792" width="11.42578125" style="1"/>
    <col min="1793" max="1793" width="62.7109375" style="1" bestFit="1" customWidth="1"/>
    <col min="1794" max="1795" width="15.85546875" style="1" customWidth="1"/>
    <col min="1796" max="1796" width="14.42578125" style="1" bestFit="1" customWidth="1"/>
    <col min="1797" max="1797" width="14.85546875" style="1" bestFit="1" customWidth="1"/>
    <col min="1798" max="2048" width="11.42578125" style="1"/>
    <col min="2049" max="2049" width="62.7109375" style="1" bestFit="1" customWidth="1"/>
    <col min="2050" max="2051" width="15.85546875" style="1" customWidth="1"/>
    <col min="2052" max="2052" width="14.42578125" style="1" bestFit="1" customWidth="1"/>
    <col min="2053" max="2053" width="14.85546875" style="1" bestFit="1" customWidth="1"/>
    <col min="2054" max="2304" width="11.42578125" style="1"/>
    <col min="2305" max="2305" width="62.7109375" style="1" bestFit="1" customWidth="1"/>
    <col min="2306" max="2307" width="15.85546875" style="1" customWidth="1"/>
    <col min="2308" max="2308" width="14.42578125" style="1" bestFit="1" customWidth="1"/>
    <col min="2309" max="2309" width="14.85546875" style="1" bestFit="1" customWidth="1"/>
    <col min="2310" max="2560" width="11.42578125" style="1"/>
    <col min="2561" max="2561" width="62.7109375" style="1" bestFit="1" customWidth="1"/>
    <col min="2562" max="2563" width="15.85546875" style="1" customWidth="1"/>
    <col min="2564" max="2564" width="14.42578125" style="1" bestFit="1" customWidth="1"/>
    <col min="2565" max="2565" width="14.85546875" style="1" bestFit="1" customWidth="1"/>
    <col min="2566" max="2816" width="11.42578125" style="1"/>
    <col min="2817" max="2817" width="62.7109375" style="1" bestFit="1" customWidth="1"/>
    <col min="2818" max="2819" width="15.85546875" style="1" customWidth="1"/>
    <col min="2820" max="2820" width="14.42578125" style="1" bestFit="1" customWidth="1"/>
    <col min="2821" max="2821" width="14.85546875" style="1" bestFit="1" customWidth="1"/>
    <col min="2822" max="3072" width="11.42578125" style="1"/>
    <col min="3073" max="3073" width="62.7109375" style="1" bestFit="1" customWidth="1"/>
    <col min="3074" max="3075" width="15.85546875" style="1" customWidth="1"/>
    <col min="3076" max="3076" width="14.42578125" style="1" bestFit="1" customWidth="1"/>
    <col min="3077" max="3077" width="14.85546875" style="1" bestFit="1" customWidth="1"/>
    <col min="3078" max="3328" width="11.42578125" style="1"/>
    <col min="3329" max="3329" width="62.7109375" style="1" bestFit="1" customWidth="1"/>
    <col min="3330" max="3331" width="15.85546875" style="1" customWidth="1"/>
    <col min="3332" max="3332" width="14.42578125" style="1" bestFit="1" customWidth="1"/>
    <col min="3333" max="3333" width="14.85546875" style="1" bestFit="1" customWidth="1"/>
    <col min="3334" max="3584" width="11.42578125" style="1"/>
    <col min="3585" max="3585" width="62.7109375" style="1" bestFit="1" customWidth="1"/>
    <col min="3586" max="3587" width="15.85546875" style="1" customWidth="1"/>
    <col min="3588" max="3588" width="14.42578125" style="1" bestFit="1" customWidth="1"/>
    <col min="3589" max="3589" width="14.85546875" style="1" bestFit="1" customWidth="1"/>
    <col min="3590" max="3840" width="11.42578125" style="1"/>
    <col min="3841" max="3841" width="62.7109375" style="1" bestFit="1" customWidth="1"/>
    <col min="3842" max="3843" width="15.85546875" style="1" customWidth="1"/>
    <col min="3844" max="3844" width="14.42578125" style="1" bestFit="1" customWidth="1"/>
    <col min="3845" max="3845" width="14.85546875" style="1" bestFit="1" customWidth="1"/>
    <col min="3846" max="4096" width="11.42578125" style="1"/>
    <col min="4097" max="4097" width="62.7109375" style="1" bestFit="1" customWidth="1"/>
    <col min="4098" max="4099" width="15.85546875" style="1" customWidth="1"/>
    <col min="4100" max="4100" width="14.42578125" style="1" bestFit="1" customWidth="1"/>
    <col min="4101" max="4101" width="14.85546875" style="1" bestFit="1" customWidth="1"/>
    <col min="4102" max="4352" width="11.42578125" style="1"/>
    <col min="4353" max="4353" width="62.7109375" style="1" bestFit="1" customWidth="1"/>
    <col min="4354" max="4355" width="15.85546875" style="1" customWidth="1"/>
    <col min="4356" max="4356" width="14.42578125" style="1" bestFit="1" customWidth="1"/>
    <col min="4357" max="4357" width="14.85546875" style="1" bestFit="1" customWidth="1"/>
    <col min="4358" max="4608" width="11.42578125" style="1"/>
    <col min="4609" max="4609" width="62.7109375" style="1" bestFit="1" customWidth="1"/>
    <col min="4610" max="4611" width="15.85546875" style="1" customWidth="1"/>
    <col min="4612" max="4612" width="14.42578125" style="1" bestFit="1" customWidth="1"/>
    <col min="4613" max="4613" width="14.85546875" style="1" bestFit="1" customWidth="1"/>
    <col min="4614" max="4864" width="11.42578125" style="1"/>
    <col min="4865" max="4865" width="62.7109375" style="1" bestFit="1" customWidth="1"/>
    <col min="4866" max="4867" width="15.85546875" style="1" customWidth="1"/>
    <col min="4868" max="4868" width="14.42578125" style="1" bestFit="1" customWidth="1"/>
    <col min="4869" max="4869" width="14.85546875" style="1" bestFit="1" customWidth="1"/>
    <col min="4870" max="5120" width="11.42578125" style="1"/>
    <col min="5121" max="5121" width="62.7109375" style="1" bestFit="1" customWidth="1"/>
    <col min="5122" max="5123" width="15.85546875" style="1" customWidth="1"/>
    <col min="5124" max="5124" width="14.42578125" style="1" bestFit="1" customWidth="1"/>
    <col min="5125" max="5125" width="14.85546875" style="1" bestFit="1" customWidth="1"/>
    <col min="5126" max="5376" width="11.42578125" style="1"/>
    <col min="5377" max="5377" width="62.7109375" style="1" bestFit="1" customWidth="1"/>
    <col min="5378" max="5379" width="15.85546875" style="1" customWidth="1"/>
    <col min="5380" max="5380" width="14.42578125" style="1" bestFit="1" customWidth="1"/>
    <col min="5381" max="5381" width="14.85546875" style="1" bestFit="1" customWidth="1"/>
    <col min="5382" max="5632" width="11.42578125" style="1"/>
    <col min="5633" max="5633" width="62.7109375" style="1" bestFit="1" customWidth="1"/>
    <col min="5634" max="5635" width="15.85546875" style="1" customWidth="1"/>
    <col min="5636" max="5636" width="14.42578125" style="1" bestFit="1" customWidth="1"/>
    <col min="5637" max="5637" width="14.85546875" style="1" bestFit="1" customWidth="1"/>
    <col min="5638" max="5888" width="11.42578125" style="1"/>
    <col min="5889" max="5889" width="62.7109375" style="1" bestFit="1" customWidth="1"/>
    <col min="5890" max="5891" width="15.85546875" style="1" customWidth="1"/>
    <col min="5892" max="5892" width="14.42578125" style="1" bestFit="1" customWidth="1"/>
    <col min="5893" max="5893" width="14.85546875" style="1" bestFit="1" customWidth="1"/>
    <col min="5894" max="6144" width="11.42578125" style="1"/>
    <col min="6145" max="6145" width="62.7109375" style="1" bestFit="1" customWidth="1"/>
    <col min="6146" max="6147" width="15.85546875" style="1" customWidth="1"/>
    <col min="6148" max="6148" width="14.42578125" style="1" bestFit="1" customWidth="1"/>
    <col min="6149" max="6149" width="14.85546875" style="1" bestFit="1" customWidth="1"/>
    <col min="6150" max="6400" width="11.42578125" style="1"/>
    <col min="6401" max="6401" width="62.7109375" style="1" bestFit="1" customWidth="1"/>
    <col min="6402" max="6403" width="15.85546875" style="1" customWidth="1"/>
    <col min="6404" max="6404" width="14.42578125" style="1" bestFit="1" customWidth="1"/>
    <col min="6405" max="6405" width="14.85546875" style="1" bestFit="1" customWidth="1"/>
    <col min="6406" max="6656" width="11.42578125" style="1"/>
    <col min="6657" max="6657" width="62.7109375" style="1" bestFit="1" customWidth="1"/>
    <col min="6658" max="6659" width="15.85546875" style="1" customWidth="1"/>
    <col min="6660" max="6660" width="14.42578125" style="1" bestFit="1" customWidth="1"/>
    <col min="6661" max="6661" width="14.85546875" style="1" bestFit="1" customWidth="1"/>
    <col min="6662" max="6912" width="11.42578125" style="1"/>
    <col min="6913" max="6913" width="62.7109375" style="1" bestFit="1" customWidth="1"/>
    <col min="6914" max="6915" width="15.85546875" style="1" customWidth="1"/>
    <col min="6916" max="6916" width="14.42578125" style="1" bestFit="1" customWidth="1"/>
    <col min="6917" max="6917" width="14.85546875" style="1" bestFit="1" customWidth="1"/>
    <col min="6918" max="7168" width="11.42578125" style="1"/>
    <col min="7169" max="7169" width="62.7109375" style="1" bestFit="1" customWidth="1"/>
    <col min="7170" max="7171" width="15.85546875" style="1" customWidth="1"/>
    <col min="7172" max="7172" width="14.42578125" style="1" bestFit="1" customWidth="1"/>
    <col min="7173" max="7173" width="14.85546875" style="1" bestFit="1" customWidth="1"/>
    <col min="7174" max="7424" width="11.42578125" style="1"/>
    <col min="7425" max="7425" width="62.7109375" style="1" bestFit="1" customWidth="1"/>
    <col min="7426" max="7427" width="15.85546875" style="1" customWidth="1"/>
    <col min="7428" max="7428" width="14.42578125" style="1" bestFit="1" customWidth="1"/>
    <col min="7429" max="7429" width="14.85546875" style="1" bestFit="1" customWidth="1"/>
    <col min="7430" max="7680" width="11.42578125" style="1"/>
    <col min="7681" max="7681" width="62.7109375" style="1" bestFit="1" customWidth="1"/>
    <col min="7682" max="7683" width="15.85546875" style="1" customWidth="1"/>
    <col min="7684" max="7684" width="14.42578125" style="1" bestFit="1" customWidth="1"/>
    <col min="7685" max="7685" width="14.85546875" style="1" bestFit="1" customWidth="1"/>
    <col min="7686" max="7936" width="11.42578125" style="1"/>
    <col min="7937" max="7937" width="62.7109375" style="1" bestFit="1" customWidth="1"/>
    <col min="7938" max="7939" width="15.85546875" style="1" customWidth="1"/>
    <col min="7940" max="7940" width="14.42578125" style="1" bestFit="1" customWidth="1"/>
    <col min="7941" max="7941" width="14.85546875" style="1" bestFit="1" customWidth="1"/>
    <col min="7942" max="8192" width="11.42578125" style="1"/>
    <col min="8193" max="8193" width="62.7109375" style="1" bestFit="1" customWidth="1"/>
    <col min="8194" max="8195" width="15.85546875" style="1" customWidth="1"/>
    <col min="8196" max="8196" width="14.42578125" style="1" bestFit="1" customWidth="1"/>
    <col min="8197" max="8197" width="14.85546875" style="1" bestFit="1" customWidth="1"/>
    <col min="8198" max="8448" width="11.42578125" style="1"/>
    <col min="8449" max="8449" width="62.7109375" style="1" bestFit="1" customWidth="1"/>
    <col min="8450" max="8451" width="15.85546875" style="1" customWidth="1"/>
    <col min="8452" max="8452" width="14.42578125" style="1" bestFit="1" customWidth="1"/>
    <col min="8453" max="8453" width="14.85546875" style="1" bestFit="1" customWidth="1"/>
    <col min="8454" max="8704" width="11.42578125" style="1"/>
    <col min="8705" max="8705" width="62.7109375" style="1" bestFit="1" customWidth="1"/>
    <col min="8706" max="8707" width="15.85546875" style="1" customWidth="1"/>
    <col min="8708" max="8708" width="14.42578125" style="1" bestFit="1" customWidth="1"/>
    <col min="8709" max="8709" width="14.85546875" style="1" bestFit="1" customWidth="1"/>
    <col min="8710" max="8960" width="11.42578125" style="1"/>
    <col min="8961" max="8961" width="62.7109375" style="1" bestFit="1" customWidth="1"/>
    <col min="8962" max="8963" width="15.85546875" style="1" customWidth="1"/>
    <col min="8964" max="8964" width="14.42578125" style="1" bestFit="1" customWidth="1"/>
    <col min="8965" max="8965" width="14.85546875" style="1" bestFit="1" customWidth="1"/>
    <col min="8966" max="9216" width="11.42578125" style="1"/>
    <col min="9217" max="9217" width="62.7109375" style="1" bestFit="1" customWidth="1"/>
    <col min="9218" max="9219" width="15.85546875" style="1" customWidth="1"/>
    <col min="9220" max="9220" width="14.42578125" style="1" bestFit="1" customWidth="1"/>
    <col min="9221" max="9221" width="14.85546875" style="1" bestFit="1" customWidth="1"/>
    <col min="9222" max="9472" width="11.42578125" style="1"/>
    <col min="9473" max="9473" width="62.7109375" style="1" bestFit="1" customWidth="1"/>
    <col min="9474" max="9475" width="15.85546875" style="1" customWidth="1"/>
    <col min="9476" max="9476" width="14.42578125" style="1" bestFit="1" customWidth="1"/>
    <col min="9477" max="9477" width="14.85546875" style="1" bestFit="1" customWidth="1"/>
    <col min="9478" max="9728" width="11.42578125" style="1"/>
    <col min="9729" max="9729" width="62.7109375" style="1" bestFit="1" customWidth="1"/>
    <col min="9730" max="9731" width="15.85546875" style="1" customWidth="1"/>
    <col min="9732" max="9732" width="14.42578125" style="1" bestFit="1" customWidth="1"/>
    <col min="9733" max="9733" width="14.85546875" style="1" bestFit="1" customWidth="1"/>
    <col min="9734" max="9984" width="11.42578125" style="1"/>
    <col min="9985" max="9985" width="62.7109375" style="1" bestFit="1" customWidth="1"/>
    <col min="9986" max="9987" width="15.85546875" style="1" customWidth="1"/>
    <col min="9988" max="9988" width="14.42578125" style="1" bestFit="1" customWidth="1"/>
    <col min="9989" max="9989" width="14.85546875" style="1" bestFit="1" customWidth="1"/>
    <col min="9990" max="10240" width="11.42578125" style="1"/>
    <col min="10241" max="10241" width="62.7109375" style="1" bestFit="1" customWidth="1"/>
    <col min="10242" max="10243" width="15.85546875" style="1" customWidth="1"/>
    <col min="10244" max="10244" width="14.42578125" style="1" bestFit="1" customWidth="1"/>
    <col min="10245" max="10245" width="14.85546875" style="1" bestFit="1" customWidth="1"/>
    <col min="10246" max="10496" width="11.42578125" style="1"/>
    <col min="10497" max="10497" width="62.7109375" style="1" bestFit="1" customWidth="1"/>
    <col min="10498" max="10499" width="15.85546875" style="1" customWidth="1"/>
    <col min="10500" max="10500" width="14.42578125" style="1" bestFit="1" customWidth="1"/>
    <col min="10501" max="10501" width="14.85546875" style="1" bestFit="1" customWidth="1"/>
    <col min="10502" max="10752" width="11.42578125" style="1"/>
    <col min="10753" max="10753" width="62.7109375" style="1" bestFit="1" customWidth="1"/>
    <col min="10754" max="10755" width="15.85546875" style="1" customWidth="1"/>
    <col min="10756" max="10756" width="14.42578125" style="1" bestFit="1" customWidth="1"/>
    <col min="10757" max="10757" width="14.85546875" style="1" bestFit="1" customWidth="1"/>
    <col min="10758" max="11008" width="11.42578125" style="1"/>
    <col min="11009" max="11009" width="62.7109375" style="1" bestFit="1" customWidth="1"/>
    <col min="11010" max="11011" width="15.85546875" style="1" customWidth="1"/>
    <col min="11012" max="11012" width="14.42578125" style="1" bestFit="1" customWidth="1"/>
    <col min="11013" max="11013" width="14.85546875" style="1" bestFit="1" customWidth="1"/>
    <col min="11014" max="11264" width="11.42578125" style="1"/>
    <col min="11265" max="11265" width="62.7109375" style="1" bestFit="1" customWidth="1"/>
    <col min="11266" max="11267" width="15.85546875" style="1" customWidth="1"/>
    <col min="11268" max="11268" width="14.42578125" style="1" bestFit="1" customWidth="1"/>
    <col min="11269" max="11269" width="14.85546875" style="1" bestFit="1" customWidth="1"/>
    <col min="11270" max="11520" width="11.42578125" style="1"/>
    <col min="11521" max="11521" width="62.7109375" style="1" bestFit="1" customWidth="1"/>
    <col min="11522" max="11523" width="15.85546875" style="1" customWidth="1"/>
    <col min="11524" max="11524" width="14.42578125" style="1" bestFit="1" customWidth="1"/>
    <col min="11525" max="11525" width="14.85546875" style="1" bestFit="1" customWidth="1"/>
    <col min="11526" max="11776" width="11.42578125" style="1"/>
    <col min="11777" max="11777" width="62.7109375" style="1" bestFit="1" customWidth="1"/>
    <col min="11778" max="11779" width="15.85546875" style="1" customWidth="1"/>
    <col min="11780" max="11780" width="14.42578125" style="1" bestFit="1" customWidth="1"/>
    <col min="11781" max="11781" width="14.85546875" style="1" bestFit="1" customWidth="1"/>
    <col min="11782" max="12032" width="11.42578125" style="1"/>
    <col min="12033" max="12033" width="62.7109375" style="1" bestFit="1" customWidth="1"/>
    <col min="12034" max="12035" width="15.85546875" style="1" customWidth="1"/>
    <col min="12036" max="12036" width="14.42578125" style="1" bestFit="1" customWidth="1"/>
    <col min="12037" max="12037" width="14.85546875" style="1" bestFit="1" customWidth="1"/>
    <col min="12038" max="12288" width="11.42578125" style="1"/>
    <col min="12289" max="12289" width="62.7109375" style="1" bestFit="1" customWidth="1"/>
    <col min="12290" max="12291" width="15.85546875" style="1" customWidth="1"/>
    <col min="12292" max="12292" width="14.42578125" style="1" bestFit="1" customWidth="1"/>
    <col min="12293" max="12293" width="14.85546875" style="1" bestFit="1" customWidth="1"/>
    <col min="12294" max="12544" width="11.42578125" style="1"/>
    <col min="12545" max="12545" width="62.7109375" style="1" bestFit="1" customWidth="1"/>
    <col min="12546" max="12547" width="15.85546875" style="1" customWidth="1"/>
    <col min="12548" max="12548" width="14.42578125" style="1" bestFit="1" customWidth="1"/>
    <col min="12549" max="12549" width="14.85546875" style="1" bestFit="1" customWidth="1"/>
    <col min="12550" max="12800" width="11.42578125" style="1"/>
    <col min="12801" max="12801" width="62.7109375" style="1" bestFit="1" customWidth="1"/>
    <col min="12802" max="12803" width="15.85546875" style="1" customWidth="1"/>
    <col min="12804" max="12804" width="14.42578125" style="1" bestFit="1" customWidth="1"/>
    <col min="12805" max="12805" width="14.85546875" style="1" bestFit="1" customWidth="1"/>
    <col min="12806" max="13056" width="11.42578125" style="1"/>
    <col min="13057" max="13057" width="62.7109375" style="1" bestFit="1" customWidth="1"/>
    <col min="13058" max="13059" width="15.85546875" style="1" customWidth="1"/>
    <col min="13060" max="13060" width="14.42578125" style="1" bestFit="1" customWidth="1"/>
    <col min="13061" max="13061" width="14.85546875" style="1" bestFit="1" customWidth="1"/>
    <col min="13062" max="13312" width="11.42578125" style="1"/>
    <col min="13313" max="13313" width="62.7109375" style="1" bestFit="1" customWidth="1"/>
    <col min="13314" max="13315" width="15.85546875" style="1" customWidth="1"/>
    <col min="13316" max="13316" width="14.42578125" style="1" bestFit="1" customWidth="1"/>
    <col min="13317" max="13317" width="14.85546875" style="1" bestFit="1" customWidth="1"/>
    <col min="13318" max="13568" width="11.42578125" style="1"/>
    <col min="13569" max="13569" width="62.7109375" style="1" bestFit="1" customWidth="1"/>
    <col min="13570" max="13571" width="15.85546875" style="1" customWidth="1"/>
    <col min="13572" max="13572" width="14.42578125" style="1" bestFit="1" customWidth="1"/>
    <col min="13573" max="13573" width="14.85546875" style="1" bestFit="1" customWidth="1"/>
    <col min="13574" max="13824" width="11.42578125" style="1"/>
    <col min="13825" max="13825" width="62.7109375" style="1" bestFit="1" customWidth="1"/>
    <col min="13826" max="13827" width="15.85546875" style="1" customWidth="1"/>
    <col min="13828" max="13828" width="14.42578125" style="1" bestFit="1" customWidth="1"/>
    <col min="13829" max="13829" width="14.85546875" style="1" bestFit="1" customWidth="1"/>
    <col min="13830" max="14080" width="11.42578125" style="1"/>
    <col min="14081" max="14081" width="62.7109375" style="1" bestFit="1" customWidth="1"/>
    <col min="14082" max="14083" width="15.85546875" style="1" customWidth="1"/>
    <col min="14084" max="14084" width="14.42578125" style="1" bestFit="1" customWidth="1"/>
    <col min="14085" max="14085" width="14.85546875" style="1" bestFit="1" customWidth="1"/>
    <col min="14086" max="14336" width="11.42578125" style="1"/>
    <col min="14337" max="14337" width="62.7109375" style="1" bestFit="1" customWidth="1"/>
    <col min="14338" max="14339" width="15.85546875" style="1" customWidth="1"/>
    <col min="14340" max="14340" width="14.42578125" style="1" bestFit="1" customWidth="1"/>
    <col min="14341" max="14341" width="14.85546875" style="1" bestFit="1" customWidth="1"/>
    <col min="14342" max="14592" width="11.42578125" style="1"/>
    <col min="14593" max="14593" width="62.7109375" style="1" bestFit="1" customWidth="1"/>
    <col min="14594" max="14595" width="15.85546875" style="1" customWidth="1"/>
    <col min="14596" max="14596" width="14.42578125" style="1" bestFit="1" customWidth="1"/>
    <col min="14597" max="14597" width="14.85546875" style="1" bestFit="1" customWidth="1"/>
    <col min="14598" max="14848" width="11.42578125" style="1"/>
    <col min="14849" max="14849" width="62.7109375" style="1" bestFit="1" customWidth="1"/>
    <col min="14850" max="14851" width="15.85546875" style="1" customWidth="1"/>
    <col min="14852" max="14852" width="14.42578125" style="1" bestFit="1" customWidth="1"/>
    <col min="14853" max="14853" width="14.85546875" style="1" bestFit="1" customWidth="1"/>
    <col min="14854" max="15104" width="11.42578125" style="1"/>
    <col min="15105" max="15105" width="62.7109375" style="1" bestFit="1" customWidth="1"/>
    <col min="15106" max="15107" width="15.85546875" style="1" customWidth="1"/>
    <col min="15108" max="15108" width="14.42578125" style="1" bestFit="1" customWidth="1"/>
    <col min="15109" max="15109" width="14.85546875" style="1" bestFit="1" customWidth="1"/>
    <col min="15110" max="15360" width="11.42578125" style="1"/>
    <col min="15361" max="15361" width="62.7109375" style="1" bestFit="1" customWidth="1"/>
    <col min="15362" max="15363" width="15.85546875" style="1" customWidth="1"/>
    <col min="15364" max="15364" width="14.42578125" style="1" bestFit="1" customWidth="1"/>
    <col min="15365" max="15365" width="14.85546875" style="1" bestFit="1" customWidth="1"/>
    <col min="15366" max="15616" width="11.42578125" style="1"/>
    <col min="15617" max="15617" width="62.7109375" style="1" bestFit="1" customWidth="1"/>
    <col min="15618" max="15619" width="15.85546875" style="1" customWidth="1"/>
    <col min="15620" max="15620" width="14.42578125" style="1" bestFit="1" customWidth="1"/>
    <col min="15621" max="15621" width="14.85546875" style="1" bestFit="1" customWidth="1"/>
    <col min="15622" max="15872" width="11.42578125" style="1"/>
    <col min="15873" max="15873" width="62.7109375" style="1" bestFit="1" customWidth="1"/>
    <col min="15874" max="15875" width="15.85546875" style="1" customWidth="1"/>
    <col min="15876" max="15876" width="14.42578125" style="1" bestFit="1" customWidth="1"/>
    <col min="15877" max="15877" width="14.85546875" style="1" bestFit="1" customWidth="1"/>
    <col min="15878" max="16128" width="11.42578125" style="1"/>
    <col min="16129" max="16129" width="62.7109375" style="1" bestFit="1" customWidth="1"/>
    <col min="16130" max="16131" width="15.85546875" style="1" customWidth="1"/>
    <col min="16132" max="16132" width="14.42578125" style="1" bestFit="1" customWidth="1"/>
    <col min="16133" max="16133" width="14.85546875" style="1" bestFit="1" customWidth="1"/>
    <col min="16134" max="16384" width="11.42578125" style="1"/>
  </cols>
  <sheetData>
    <row r="2" spans="2:16" ht="22.5" customHeight="1" x14ac:dyDescent="0.35">
      <c r="B2" s="66"/>
      <c r="C2" s="66"/>
      <c r="D2" s="66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2:16" ht="22.5" customHeight="1" x14ac:dyDescent="0.35">
      <c r="B3" s="66" t="s">
        <v>0</v>
      </c>
      <c r="C3" s="66"/>
      <c r="D3" s="66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2:16" ht="15" x14ac:dyDescent="0.25">
      <c r="B4" s="65" t="s">
        <v>1</v>
      </c>
      <c r="C4" s="65"/>
      <c r="D4" s="6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2:16" ht="29.25" customHeight="1" x14ac:dyDescent="0.2">
      <c r="B5" s="3" t="s">
        <v>2</v>
      </c>
      <c r="C5" s="3" t="s">
        <v>3</v>
      </c>
      <c r="D5" s="3" t="s">
        <v>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x14ac:dyDescent="0.2">
      <c r="B6" s="4" t="s">
        <v>5</v>
      </c>
      <c r="C6" s="4"/>
      <c r="D6" s="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2:16" s="5" customFormat="1" hidden="1" x14ac:dyDescent="0.2">
      <c r="B7" s="6" t="s">
        <v>6</v>
      </c>
      <c r="C7" s="7">
        <v>742769194.4799999</v>
      </c>
      <c r="D7" s="7">
        <v>725450501.76661038</v>
      </c>
    </row>
    <row r="8" spans="2:16" s="5" customFormat="1" hidden="1" x14ac:dyDescent="0.2">
      <c r="B8" s="6" t="s">
        <v>7</v>
      </c>
      <c r="C8" s="7">
        <v>36500000</v>
      </c>
      <c r="D8" s="7">
        <f>29256504.08+4895000</f>
        <v>34151504.079999998</v>
      </c>
    </row>
    <row r="9" spans="2:16" s="5" customFormat="1" hidden="1" x14ac:dyDescent="0.2">
      <c r="B9" s="8" t="s">
        <v>8</v>
      </c>
      <c r="C9" s="7">
        <v>1365000</v>
      </c>
      <c r="D9" s="7">
        <v>930000</v>
      </c>
    </row>
    <row r="10" spans="2:16" s="5" customFormat="1" hidden="1" x14ac:dyDescent="0.2">
      <c r="B10" s="8" t="s">
        <v>9</v>
      </c>
      <c r="C10" s="7">
        <v>4485625</v>
      </c>
      <c r="D10" s="7">
        <v>4376999.5</v>
      </c>
    </row>
    <row r="11" spans="2:16" s="5" customFormat="1" hidden="1" x14ac:dyDescent="0.2">
      <c r="B11" s="8" t="s">
        <v>10</v>
      </c>
      <c r="C11" s="7">
        <v>3325925</v>
      </c>
      <c r="D11" s="7">
        <v>3715000</v>
      </c>
    </row>
    <row r="12" spans="2:16" s="5" customFormat="1" hidden="1" x14ac:dyDescent="0.2">
      <c r="B12" s="8" t="s">
        <v>11</v>
      </c>
      <c r="C12" s="7">
        <v>97971568.75</v>
      </c>
      <c r="D12" s="7">
        <v>106785000</v>
      </c>
    </row>
    <row r="13" spans="2:16" s="5" customFormat="1" hidden="1" x14ac:dyDescent="0.2">
      <c r="B13" s="8" t="s">
        <v>12</v>
      </c>
      <c r="C13" s="7">
        <v>4000000</v>
      </c>
      <c r="D13" s="7">
        <v>10734000</v>
      </c>
    </row>
    <row r="14" spans="2:16" s="5" customFormat="1" hidden="1" x14ac:dyDescent="0.2">
      <c r="B14" s="8" t="s">
        <v>13</v>
      </c>
      <c r="C14" s="9">
        <v>77954713.333333328</v>
      </c>
      <c r="D14" s="7">
        <f>25201000+35572442.7-14241705.78</f>
        <v>46531736.920000002</v>
      </c>
    </row>
    <row r="15" spans="2:16" s="5" customFormat="1" hidden="1" x14ac:dyDescent="0.2">
      <c r="B15" s="8" t="s">
        <v>14</v>
      </c>
      <c r="C15" s="9">
        <v>28765000</v>
      </c>
      <c r="D15" s="7">
        <v>14241705.779999999</v>
      </c>
      <c r="E15" s="10"/>
    </row>
    <row r="16" spans="2:16" s="5" customFormat="1" hidden="1" x14ac:dyDescent="0.2">
      <c r="B16" s="8" t="s">
        <v>15</v>
      </c>
      <c r="C16" s="7">
        <v>8400000</v>
      </c>
      <c r="D16" s="7">
        <v>7414000</v>
      </c>
    </row>
    <row r="17" spans="2:16" s="5" customFormat="1" hidden="1" x14ac:dyDescent="0.2">
      <c r="B17" s="8" t="s">
        <v>16</v>
      </c>
      <c r="C17" s="7">
        <v>38370</v>
      </c>
      <c r="D17" s="7">
        <f>2973.43+139297.8</f>
        <v>142271.22999999998</v>
      </c>
    </row>
    <row r="18" spans="2:16" s="5" customFormat="1" hidden="1" x14ac:dyDescent="0.2">
      <c r="B18" s="8" t="s">
        <v>17</v>
      </c>
      <c r="C18" s="7">
        <v>1189800</v>
      </c>
      <c r="D18" s="7">
        <v>33400</v>
      </c>
    </row>
    <row r="19" spans="2:16" s="5" customFormat="1" hidden="1" x14ac:dyDescent="0.2">
      <c r="B19" s="8" t="s">
        <v>18</v>
      </c>
      <c r="C19" s="7">
        <v>3489125</v>
      </c>
      <c r="D19" s="7">
        <f>3675000+1575000</f>
        <v>5250000</v>
      </c>
      <c r="E19" s="11"/>
    </row>
    <row r="20" spans="2:16" s="5" customFormat="1" hidden="1" x14ac:dyDescent="0.2">
      <c r="B20" s="8" t="s">
        <v>19</v>
      </c>
      <c r="C20" s="7">
        <v>28560000</v>
      </c>
      <c r="D20" s="7">
        <f>1523772+8757872.75</f>
        <v>10281644.75</v>
      </c>
    </row>
    <row r="21" spans="2:16" s="5" customFormat="1" hidden="1" x14ac:dyDescent="0.2">
      <c r="B21" s="8" t="s">
        <v>20</v>
      </c>
      <c r="C21" s="7">
        <v>5620000</v>
      </c>
      <c r="D21" s="7">
        <v>5428627.2800000003</v>
      </c>
    </row>
    <row r="22" spans="2:16" s="5" customFormat="1" hidden="1" x14ac:dyDescent="0.2">
      <c r="B22" s="8" t="s">
        <v>21</v>
      </c>
      <c r="C22" s="7">
        <v>6000000</v>
      </c>
      <c r="D22" s="7">
        <v>0</v>
      </c>
    </row>
    <row r="23" spans="2:16" s="5" customFormat="1" hidden="1" x14ac:dyDescent="0.2">
      <c r="B23" s="8" t="s">
        <v>22</v>
      </c>
      <c r="C23" s="7">
        <v>10000000</v>
      </c>
      <c r="D23" s="7">
        <v>0</v>
      </c>
    </row>
    <row r="24" spans="2:16" s="5" customFormat="1" hidden="1" x14ac:dyDescent="0.2">
      <c r="B24" s="8" t="s">
        <v>23</v>
      </c>
      <c r="C24" s="12">
        <v>28900000</v>
      </c>
      <c r="D24" s="12">
        <v>28900000</v>
      </c>
    </row>
    <row r="25" spans="2:16" s="5" customFormat="1" x14ac:dyDescent="0.2">
      <c r="B25" s="13" t="s">
        <v>24</v>
      </c>
      <c r="C25" s="14">
        <f>SUM(C7:C24)</f>
        <v>1089334321.5633333</v>
      </c>
      <c r="D25" s="14">
        <f>SUM(D7:D24)</f>
        <v>1004366391.3066103</v>
      </c>
    </row>
    <row r="26" spans="2:16" s="5" customFormat="1" x14ac:dyDescent="0.2">
      <c r="B26" s="15" t="s">
        <v>25</v>
      </c>
      <c r="C26" s="16"/>
      <c r="D26" s="17"/>
    </row>
    <row r="27" spans="2:16" s="5" customFormat="1" hidden="1" x14ac:dyDescent="0.2">
      <c r="B27" s="18" t="s">
        <v>26</v>
      </c>
      <c r="C27" s="19">
        <v>1000000</v>
      </c>
      <c r="D27" s="19">
        <f>116437.5+699614.9+29773.95</f>
        <v>845826.35</v>
      </c>
    </row>
    <row r="28" spans="2:16" s="5" customFormat="1" hidden="1" x14ac:dyDescent="0.2">
      <c r="B28" s="18" t="s">
        <v>27</v>
      </c>
      <c r="C28" s="7">
        <v>200000</v>
      </c>
      <c r="D28" s="7">
        <f>1487762.04-718871.66</f>
        <v>768890.38</v>
      </c>
    </row>
    <row r="29" spans="2:16" s="5" customFormat="1" x14ac:dyDescent="0.2">
      <c r="B29" s="20" t="s">
        <v>28</v>
      </c>
      <c r="C29" s="14">
        <f>SUM(C27:C28)</f>
        <v>1200000</v>
      </c>
      <c r="D29" s="14">
        <f>SUM(D27:D28)</f>
        <v>1614716.73</v>
      </c>
    </row>
    <row r="30" spans="2:16" s="5" customFormat="1" x14ac:dyDescent="0.2">
      <c r="B30" s="21" t="s">
        <v>29</v>
      </c>
      <c r="C30" s="22">
        <f>+C29+C25</f>
        <v>1090534321.5633333</v>
      </c>
      <c r="D30" s="22">
        <f>+D25+D29</f>
        <v>1005981108.0366104</v>
      </c>
    </row>
    <row r="31" spans="2:16" x14ac:dyDescent="0.2">
      <c r="B31" s="4"/>
      <c r="C31" s="23"/>
      <c r="D31" s="23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2:16" hidden="1" x14ac:dyDescent="0.2">
      <c r="B32" s="4"/>
      <c r="C32" s="23"/>
      <c r="D32" s="2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2:16" ht="18.75" customHeight="1" x14ac:dyDescent="0.25">
      <c r="B33" s="65" t="s">
        <v>30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2:16" ht="38.25" x14ac:dyDescent="0.2">
      <c r="B34" s="3" t="s">
        <v>2</v>
      </c>
      <c r="C34" s="3" t="s">
        <v>3</v>
      </c>
      <c r="D34" s="3" t="s">
        <v>31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2:16" ht="18.75" customHeight="1" x14ac:dyDescent="0.2">
      <c r="B35" s="24" t="s">
        <v>32</v>
      </c>
      <c r="C35" s="23"/>
      <c r="D35" s="23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2:16" s="5" customFormat="1" hidden="1" x14ac:dyDescent="0.2">
      <c r="B36" s="6" t="s">
        <v>7</v>
      </c>
      <c r="C36" s="7">
        <v>36500000</v>
      </c>
      <c r="D36" s="7">
        <v>37025238.729999997</v>
      </c>
    </row>
    <row r="37" spans="2:16" s="5" customFormat="1" hidden="1" x14ac:dyDescent="0.2">
      <c r="B37" s="6" t="s">
        <v>33</v>
      </c>
      <c r="C37" s="7">
        <v>11051735.5625</v>
      </c>
      <c r="D37" s="7">
        <f>11050975+1520415</f>
        <v>12571390</v>
      </c>
    </row>
    <row r="38" spans="2:16" s="5" customFormat="1" hidden="1" x14ac:dyDescent="0.2">
      <c r="B38" s="6" t="s">
        <v>15</v>
      </c>
      <c r="C38" s="7">
        <v>7295296.0615000008</v>
      </c>
      <c r="D38" s="7">
        <v>4159530</v>
      </c>
    </row>
    <row r="39" spans="2:16" s="5" customFormat="1" hidden="1" x14ac:dyDescent="0.2">
      <c r="B39" s="8" t="s">
        <v>34</v>
      </c>
      <c r="C39" s="9"/>
      <c r="D39" s="7"/>
    </row>
    <row r="40" spans="2:16" s="5" customFormat="1" hidden="1" x14ac:dyDescent="0.2">
      <c r="B40" s="25" t="s">
        <v>35</v>
      </c>
      <c r="C40" s="9">
        <v>75622000</v>
      </c>
      <c r="D40" s="26">
        <f>60773442.7-1316580.6</f>
        <v>59456862.100000001</v>
      </c>
    </row>
    <row r="41" spans="2:16" s="5" customFormat="1" hidden="1" x14ac:dyDescent="0.2">
      <c r="B41" s="25" t="s">
        <v>36</v>
      </c>
      <c r="C41" s="9">
        <v>17934500</v>
      </c>
      <c r="D41" s="7">
        <f>17067509.35+633050</f>
        <v>17700559.350000001</v>
      </c>
    </row>
    <row r="42" spans="2:16" s="5" customFormat="1" hidden="1" x14ac:dyDescent="0.2">
      <c r="B42" s="25" t="s">
        <v>37</v>
      </c>
      <c r="C42" s="9">
        <v>14262938.210000001</v>
      </c>
      <c r="D42" s="7">
        <f>11338514.15+859519.18+1354973.5066105+24000</f>
        <v>13577006.8366105</v>
      </c>
    </row>
    <row r="43" spans="2:16" s="5" customFormat="1" hidden="1" x14ac:dyDescent="0.2">
      <c r="B43" s="25" t="s">
        <v>38</v>
      </c>
      <c r="C43" s="12">
        <v>28560000</v>
      </c>
      <c r="D43" s="12">
        <v>7550967.7999999998</v>
      </c>
    </row>
    <row r="44" spans="2:16" s="5" customFormat="1" x14ac:dyDescent="0.2">
      <c r="B44" s="27" t="s">
        <v>39</v>
      </c>
      <c r="C44" s="14">
        <f>SUM(C36:C43)</f>
        <v>191226469.83400002</v>
      </c>
      <c r="D44" s="14">
        <f>SUM(D36:D43)</f>
        <v>152041554.81661052</v>
      </c>
    </row>
    <row r="45" spans="2:16" s="5" customFormat="1" x14ac:dyDescent="0.2">
      <c r="B45" s="15"/>
      <c r="C45" s="28"/>
      <c r="D45" s="28"/>
    </row>
    <row r="46" spans="2:16" x14ac:dyDescent="0.2">
      <c r="B46" s="4" t="s">
        <v>40</v>
      </c>
      <c r="C46" s="29"/>
      <c r="D46" s="29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2:16" s="5" customFormat="1" hidden="1" x14ac:dyDescent="0.2">
      <c r="B47" s="6" t="s">
        <v>41</v>
      </c>
      <c r="C47" s="9">
        <v>266506168.83407998</v>
      </c>
      <c r="D47" s="9">
        <f>236873120.6+4735937.72+1843086.14</f>
        <v>243452144.45999998</v>
      </c>
    </row>
    <row r="48" spans="2:16" s="5" customFormat="1" hidden="1" x14ac:dyDescent="0.2">
      <c r="B48" s="6" t="s">
        <v>42</v>
      </c>
      <c r="C48" s="9">
        <v>95062750.423116326</v>
      </c>
      <c r="D48" s="9">
        <v>66711307.159999996</v>
      </c>
    </row>
    <row r="49" spans="2:4" s="5" customFormat="1" hidden="1" x14ac:dyDescent="0.2">
      <c r="B49" s="30" t="s">
        <v>43</v>
      </c>
      <c r="C49" s="9">
        <v>15857179.439999999</v>
      </c>
      <c r="D49" s="9">
        <f>2380026.37+8176821.86+456504.55</f>
        <v>11013352.780000001</v>
      </c>
    </row>
    <row r="50" spans="2:4" s="5" customFormat="1" hidden="1" x14ac:dyDescent="0.2">
      <c r="B50" s="6" t="s">
        <v>44</v>
      </c>
      <c r="C50" s="9">
        <v>22208847.40284</v>
      </c>
      <c r="D50" s="9">
        <v>21093658.300000001</v>
      </c>
    </row>
    <row r="51" spans="2:4" s="5" customFormat="1" hidden="1" x14ac:dyDescent="0.2">
      <c r="B51" s="6" t="s">
        <v>45</v>
      </c>
      <c r="C51" s="9">
        <v>3390006</v>
      </c>
      <c r="D51" s="9">
        <v>2913776</v>
      </c>
    </row>
    <row r="52" spans="2:4" s="5" customFormat="1" hidden="1" x14ac:dyDescent="0.2">
      <c r="B52" s="6" t="s">
        <v>46</v>
      </c>
      <c r="C52" s="9">
        <v>8000000</v>
      </c>
      <c r="D52" s="9">
        <v>5569705</v>
      </c>
    </row>
    <row r="53" spans="2:4" s="5" customFormat="1" hidden="1" x14ac:dyDescent="0.2">
      <c r="B53" s="6" t="s">
        <v>47</v>
      </c>
      <c r="C53" s="9">
        <v>2416355</v>
      </c>
      <c r="D53" s="9">
        <v>1859810</v>
      </c>
    </row>
    <row r="54" spans="2:4" s="5" customFormat="1" hidden="1" x14ac:dyDescent="0.2">
      <c r="B54" s="6" t="s">
        <v>48</v>
      </c>
      <c r="C54" s="9">
        <v>3586204.2599999993</v>
      </c>
      <c r="D54" s="9">
        <v>3423794.68</v>
      </c>
    </row>
    <row r="55" spans="2:4" s="5" customFormat="1" hidden="1" x14ac:dyDescent="0.2">
      <c r="B55" s="6" t="s">
        <v>49</v>
      </c>
      <c r="C55" s="9">
        <v>1500000</v>
      </c>
      <c r="D55" s="9">
        <v>1747615</v>
      </c>
    </row>
    <row r="56" spans="2:4" s="5" customFormat="1" hidden="1" x14ac:dyDescent="0.2">
      <c r="B56" s="6" t="s">
        <v>50</v>
      </c>
      <c r="C56" s="9">
        <v>1600000</v>
      </c>
      <c r="D56" s="9">
        <v>1321858.5</v>
      </c>
    </row>
    <row r="57" spans="2:4" s="5" customFormat="1" hidden="1" x14ac:dyDescent="0.2">
      <c r="B57" s="6" t="s">
        <v>51</v>
      </c>
      <c r="C57" s="9">
        <v>1250000</v>
      </c>
      <c r="D57" s="9">
        <v>1131766.71</v>
      </c>
    </row>
    <row r="58" spans="2:4" s="5" customFormat="1" hidden="1" x14ac:dyDescent="0.2">
      <c r="B58" s="6" t="s">
        <v>52</v>
      </c>
      <c r="C58" s="9">
        <v>60000</v>
      </c>
      <c r="D58" s="9">
        <v>69379.47</v>
      </c>
    </row>
    <row r="59" spans="2:4" s="5" customFormat="1" hidden="1" x14ac:dyDescent="0.2">
      <c r="B59" s="6" t="s">
        <v>53</v>
      </c>
      <c r="C59" s="9">
        <v>150000</v>
      </c>
      <c r="D59" s="9">
        <v>87189.52</v>
      </c>
    </row>
    <row r="60" spans="2:4" s="5" customFormat="1" hidden="1" x14ac:dyDescent="0.2">
      <c r="B60" s="6" t="s">
        <v>54</v>
      </c>
      <c r="C60" s="9">
        <v>150000</v>
      </c>
      <c r="D60" s="9">
        <v>129104.23</v>
      </c>
    </row>
    <row r="61" spans="2:4" s="5" customFormat="1" hidden="1" x14ac:dyDescent="0.2">
      <c r="B61" s="6" t="s">
        <v>55</v>
      </c>
      <c r="C61" s="9">
        <v>250000</v>
      </c>
      <c r="D61" s="9">
        <v>0</v>
      </c>
    </row>
    <row r="62" spans="2:4" s="5" customFormat="1" hidden="1" x14ac:dyDescent="0.2">
      <c r="B62" s="6" t="s">
        <v>56</v>
      </c>
      <c r="C62" s="9">
        <v>7063525.3700000001</v>
      </c>
      <c r="D62" s="9">
        <v>7011267.0300000003</v>
      </c>
    </row>
    <row r="63" spans="2:4" s="5" customFormat="1" hidden="1" x14ac:dyDescent="0.2">
      <c r="B63" s="6" t="s">
        <v>57</v>
      </c>
      <c r="C63" s="9">
        <v>30000000</v>
      </c>
      <c r="D63" s="9">
        <v>23785000</v>
      </c>
    </row>
    <row r="64" spans="2:4" s="5" customFormat="1" hidden="1" x14ac:dyDescent="0.2">
      <c r="B64" s="6" t="s">
        <v>58</v>
      </c>
      <c r="C64" s="9">
        <f>1323355+13000000</f>
        <v>14323355</v>
      </c>
      <c r="D64" s="9">
        <f>128016+4700+54720</f>
        <v>187436</v>
      </c>
    </row>
    <row r="65" spans="2:5" s="5" customFormat="1" hidden="1" x14ac:dyDescent="0.2">
      <c r="B65" s="6" t="s">
        <v>59</v>
      </c>
      <c r="C65" s="9">
        <v>2500000</v>
      </c>
      <c r="D65" s="9">
        <v>1012641.18</v>
      </c>
    </row>
    <row r="66" spans="2:5" s="5" customFormat="1" hidden="1" x14ac:dyDescent="0.2">
      <c r="B66" s="6" t="s">
        <v>60</v>
      </c>
      <c r="C66" s="9">
        <v>12000000</v>
      </c>
      <c r="D66" s="9">
        <f>119360+15056192.71</f>
        <v>15175552.710000001</v>
      </c>
    </row>
    <row r="67" spans="2:5" s="5" customFormat="1" hidden="1" x14ac:dyDescent="0.2">
      <c r="B67" s="6" t="s">
        <v>61</v>
      </c>
      <c r="C67" s="9">
        <v>2200000</v>
      </c>
      <c r="D67" s="9">
        <v>2218435</v>
      </c>
    </row>
    <row r="68" spans="2:5" s="5" customFormat="1" hidden="1" x14ac:dyDescent="0.2">
      <c r="B68" s="6" t="s">
        <v>62</v>
      </c>
      <c r="C68" s="9">
        <v>24000000</v>
      </c>
      <c r="D68" s="9">
        <v>30003354.789999999</v>
      </c>
    </row>
    <row r="69" spans="2:5" s="5" customFormat="1" ht="14.25" hidden="1" customHeight="1" x14ac:dyDescent="0.2">
      <c r="B69" s="6" t="s">
        <v>63</v>
      </c>
      <c r="C69" s="9">
        <v>1000000</v>
      </c>
      <c r="D69" s="9">
        <f>1484491.27-563420</f>
        <v>921071.27</v>
      </c>
    </row>
    <row r="70" spans="2:5" s="5" customFormat="1" hidden="1" x14ac:dyDescent="0.2">
      <c r="B70" s="6" t="s">
        <v>64</v>
      </c>
      <c r="C70" s="9">
        <v>2000000</v>
      </c>
      <c r="D70" s="9">
        <v>312000</v>
      </c>
    </row>
    <row r="71" spans="2:5" s="5" customFormat="1" hidden="1" x14ac:dyDescent="0.2">
      <c r="B71" s="6" t="s">
        <v>65</v>
      </c>
      <c r="C71" s="9">
        <v>1500000</v>
      </c>
      <c r="D71" s="9">
        <f>843234.17+300000+598951.63+163359.12</f>
        <v>1905544.92</v>
      </c>
    </row>
    <row r="72" spans="2:5" s="5" customFormat="1" hidden="1" x14ac:dyDescent="0.2">
      <c r="B72" s="6" t="s">
        <v>66</v>
      </c>
      <c r="C72" s="9">
        <v>400000</v>
      </c>
      <c r="D72" s="9">
        <f>171448.41+5170+68077.8+10000+200000</f>
        <v>454696.21</v>
      </c>
    </row>
    <row r="73" spans="2:5" s="5" customFormat="1" hidden="1" x14ac:dyDescent="0.2">
      <c r="B73" s="6" t="s">
        <v>67</v>
      </c>
      <c r="C73" s="9">
        <v>960000</v>
      </c>
      <c r="D73" s="9">
        <v>679400</v>
      </c>
    </row>
    <row r="74" spans="2:5" s="5" customFormat="1" hidden="1" x14ac:dyDescent="0.2">
      <c r="B74" s="6" t="s">
        <v>68</v>
      </c>
      <c r="C74" s="9">
        <v>200000</v>
      </c>
      <c r="D74" s="9">
        <v>75000</v>
      </c>
    </row>
    <row r="75" spans="2:5" s="5" customFormat="1" hidden="1" x14ac:dyDescent="0.2">
      <c r="B75" s="6" t="s">
        <v>69</v>
      </c>
      <c r="C75" s="9">
        <v>700000</v>
      </c>
      <c r="D75" s="9">
        <v>1981962.5</v>
      </c>
    </row>
    <row r="76" spans="2:5" s="5" customFormat="1" hidden="1" x14ac:dyDescent="0.2">
      <c r="B76" s="6" t="s">
        <v>70</v>
      </c>
      <c r="C76" s="9">
        <v>650000</v>
      </c>
      <c r="D76" s="9">
        <v>636667.37</v>
      </c>
    </row>
    <row r="77" spans="2:5" s="5" customFormat="1" hidden="1" x14ac:dyDescent="0.2">
      <c r="B77" s="6" t="s">
        <v>71</v>
      </c>
      <c r="C77" s="9">
        <v>4100000</v>
      </c>
      <c r="D77" s="9">
        <v>4031640</v>
      </c>
    </row>
    <row r="78" spans="2:5" s="5" customFormat="1" hidden="1" x14ac:dyDescent="0.2">
      <c r="B78" s="6" t="s">
        <v>72</v>
      </c>
      <c r="C78" s="9">
        <v>200000</v>
      </c>
      <c r="D78" s="9">
        <v>234000</v>
      </c>
    </row>
    <row r="79" spans="2:5" s="5" customFormat="1" hidden="1" x14ac:dyDescent="0.2">
      <c r="B79" s="6" t="s">
        <v>73</v>
      </c>
      <c r="C79" s="9">
        <v>200000</v>
      </c>
      <c r="D79" s="9">
        <v>217045</v>
      </c>
    </row>
    <row r="80" spans="2:5" s="5" customFormat="1" ht="12" hidden="1" customHeight="1" x14ac:dyDescent="0.25">
      <c r="B80" s="6" t="s">
        <v>74</v>
      </c>
      <c r="C80" s="9">
        <f>102000000-13000000</f>
        <v>89000000</v>
      </c>
      <c r="D80" s="9">
        <v>70619314.269999996</v>
      </c>
      <c r="E80" s="31"/>
    </row>
    <row r="81" spans="2:16" s="5" customFormat="1" hidden="1" x14ac:dyDescent="0.2">
      <c r="B81" s="6" t="s">
        <v>75</v>
      </c>
      <c r="C81" s="32">
        <v>12549460</v>
      </c>
      <c r="D81" s="9">
        <f>1840964.83+3954064.4+563420+2360000+1909361.17</f>
        <v>10627810.4</v>
      </c>
    </row>
    <row r="82" spans="2:16" s="5" customFormat="1" hidden="1" x14ac:dyDescent="0.2">
      <c r="B82" s="6" t="s">
        <v>76</v>
      </c>
      <c r="C82" s="32">
        <v>10000000</v>
      </c>
      <c r="D82" s="9">
        <f>1300990+4498828.35+1166205+861755.05</f>
        <v>7827778.3999999994</v>
      </c>
    </row>
    <row r="83" spans="2:16" s="5" customFormat="1" hidden="1" x14ac:dyDescent="0.2">
      <c r="B83" s="6" t="s">
        <v>77</v>
      </c>
      <c r="C83" s="32">
        <v>1500000</v>
      </c>
      <c r="D83" s="32">
        <v>1170000</v>
      </c>
    </row>
    <row r="84" spans="2:16" x14ac:dyDescent="0.2">
      <c r="B84" s="33" t="s">
        <v>78</v>
      </c>
      <c r="C84" s="34">
        <f>SUM(C47:C83)</f>
        <v>639033851.73003626</v>
      </c>
      <c r="D84" s="34">
        <f>SUM(D47:D83)</f>
        <v>541612078.8599999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2:16" x14ac:dyDescent="0.2">
      <c r="B85" s="4"/>
      <c r="C85" s="23"/>
      <c r="D85" s="23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2:16" x14ac:dyDescent="0.2">
      <c r="B86" s="4" t="s">
        <v>79</v>
      </c>
      <c r="C86" s="29"/>
      <c r="D86" s="29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2:16" s="5" customFormat="1" hidden="1" x14ac:dyDescent="0.2">
      <c r="B87" s="6" t="s">
        <v>80</v>
      </c>
      <c r="C87" s="9">
        <v>12000000</v>
      </c>
      <c r="D87" s="9">
        <v>12185172.25</v>
      </c>
    </row>
    <row r="88" spans="2:16" s="5" customFormat="1" hidden="1" x14ac:dyDescent="0.2">
      <c r="B88" s="6" t="s">
        <v>81</v>
      </c>
      <c r="C88" s="9">
        <v>8000000</v>
      </c>
      <c r="D88" s="9">
        <v>10694671.51</v>
      </c>
    </row>
    <row r="89" spans="2:16" s="5" customFormat="1" hidden="1" x14ac:dyDescent="0.2">
      <c r="B89" s="6" t="s">
        <v>82</v>
      </c>
      <c r="C89" s="9">
        <v>1500000</v>
      </c>
      <c r="D89" s="9">
        <f>120000+1200000</f>
        <v>1320000</v>
      </c>
    </row>
    <row r="90" spans="2:16" s="5" customFormat="1" hidden="1" x14ac:dyDescent="0.2">
      <c r="B90" s="6" t="s">
        <v>83</v>
      </c>
      <c r="C90" s="9">
        <v>25000000</v>
      </c>
      <c r="D90" s="9">
        <v>23076000</v>
      </c>
    </row>
    <row r="91" spans="2:16" s="5" customFormat="1" hidden="1" x14ac:dyDescent="0.2">
      <c r="B91" s="6" t="s">
        <v>84</v>
      </c>
      <c r="C91" s="9">
        <v>1250000</v>
      </c>
      <c r="D91" s="9">
        <v>1188656</v>
      </c>
    </row>
    <row r="92" spans="2:16" s="5" customFormat="1" hidden="1" x14ac:dyDescent="0.2">
      <c r="B92" s="6" t="s">
        <v>85</v>
      </c>
      <c r="C92" s="9">
        <v>3000000</v>
      </c>
      <c r="D92" s="9">
        <v>2566416.48</v>
      </c>
    </row>
    <row r="93" spans="2:16" s="5" customFormat="1" hidden="1" x14ac:dyDescent="0.2">
      <c r="B93" s="6" t="s">
        <v>86</v>
      </c>
      <c r="C93" s="9">
        <f>3000000-1025000</f>
        <v>1975000</v>
      </c>
      <c r="D93" s="9">
        <v>1530203</v>
      </c>
    </row>
    <row r="94" spans="2:16" s="5" customFormat="1" hidden="1" x14ac:dyDescent="0.2">
      <c r="B94" s="6" t="s">
        <v>87</v>
      </c>
      <c r="C94" s="9">
        <v>250000</v>
      </c>
      <c r="D94" s="9">
        <v>99000</v>
      </c>
    </row>
    <row r="95" spans="2:16" s="5" customFormat="1" hidden="1" x14ac:dyDescent="0.2">
      <c r="B95" s="6" t="s">
        <v>88</v>
      </c>
      <c r="C95" s="9">
        <v>6000000</v>
      </c>
      <c r="D95" s="9">
        <f>7348374.58-163359.12-633050</f>
        <v>6551965.46</v>
      </c>
      <c r="E95" s="35"/>
    </row>
    <row r="96" spans="2:16" s="5" customFormat="1" hidden="1" x14ac:dyDescent="0.2">
      <c r="B96" s="6" t="s">
        <v>89</v>
      </c>
      <c r="C96" s="9">
        <v>13000000</v>
      </c>
      <c r="D96" s="9">
        <v>12571239.689999999</v>
      </c>
      <c r="E96" s="35"/>
    </row>
    <row r="97" spans="2:16" s="5" customFormat="1" hidden="1" x14ac:dyDescent="0.2">
      <c r="B97" s="6" t="s">
        <v>90</v>
      </c>
      <c r="C97" s="9">
        <v>4500000</v>
      </c>
      <c r="D97" s="9">
        <v>4719861.66</v>
      </c>
      <c r="E97" s="36"/>
    </row>
    <row r="98" spans="2:16" s="5" customFormat="1" hidden="1" x14ac:dyDescent="0.2">
      <c r="B98" s="6" t="s">
        <v>91</v>
      </c>
      <c r="C98" s="9">
        <v>1200000</v>
      </c>
      <c r="D98" s="9">
        <v>971404.39</v>
      </c>
      <c r="E98" s="35"/>
    </row>
    <row r="99" spans="2:16" s="5" customFormat="1" hidden="1" x14ac:dyDescent="0.2">
      <c r="B99" s="6" t="s">
        <v>92</v>
      </c>
      <c r="C99" s="9">
        <v>350000</v>
      </c>
      <c r="D99" s="9">
        <v>29790.07</v>
      </c>
    </row>
    <row r="100" spans="2:16" s="5" customFormat="1" ht="12" hidden="1" customHeight="1" x14ac:dyDescent="0.2">
      <c r="B100" s="37" t="s">
        <v>93</v>
      </c>
      <c r="C100" s="9">
        <v>10000000</v>
      </c>
      <c r="D100" s="9">
        <v>8910000</v>
      </c>
    </row>
    <row r="101" spans="2:16" s="5" customFormat="1" ht="12" hidden="1" customHeight="1" x14ac:dyDescent="0.2">
      <c r="B101" s="37" t="s">
        <v>94</v>
      </c>
      <c r="C101" s="32">
        <f>1500000+1025000</f>
        <v>2525000</v>
      </c>
      <c r="D101" s="9">
        <f>1500000+525000+24600</f>
        <v>2049600</v>
      </c>
    </row>
    <row r="102" spans="2:16" s="5" customFormat="1" hidden="1" x14ac:dyDescent="0.2">
      <c r="B102" s="6" t="s">
        <v>95</v>
      </c>
      <c r="C102" s="32">
        <v>3500000</v>
      </c>
      <c r="D102" s="32">
        <v>4453606.6500000004</v>
      </c>
    </row>
    <row r="103" spans="2:16" x14ac:dyDescent="0.2">
      <c r="B103" s="33" t="s">
        <v>96</v>
      </c>
      <c r="C103" s="34">
        <f>SUM(C87:C102)</f>
        <v>94050000</v>
      </c>
      <c r="D103" s="34">
        <f>SUM(D87:D102)</f>
        <v>92917587.159999996</v>
      </c>
    </row>
    <row r="104" spans="2:16" x14ac:dyDescent="0.2">
      <c r="B104" s="4"/>
      <c r="C104" s="29"/>
      <c r="D104" s="2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2:16" x14ac:dyDescent="0.2">
      <c r="B105" s="4" t="s">
        <v>97</v>
      </c>
      <c r="C105" s="29"/>
      <c r="D105" s="29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idden="1" x14ac:dyDescent="0.2">
      <c r="B106" s="38" t="s">
        <v>98</v>
      </c>
      <c r="C106" s="39">
        <v>4500000</v>
      </c>
      <c r="D106" s="39">
        <v>973210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idden="1" x14ac:dyDescent="0.2">
      <c r="B107" s="38" t="s">
        <v>99</v>
      </c>
      <c r="C107" s="39">
        <v>5000000</v>
      </c>
      <c r="D107" s="39">
        <v>3335220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2:16" hidden="1" x14ac:dyDescent="0.2">
      <c r="B108" s="38" t="s">
        <v>100</v>
      </c>
      <c r="C108" s="40">
        <v>3000000</v>
      </c>
      <c r="D108" s="40">
        <v>3000000</v>
      </c>
      <c r="E108" s="4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2:16" x14ac:dyDescent="0.2">
      <c r="B109" s="33" t="s">
        <v>101</v>
      </c>
      <c r="C109" s="42">
        <f>SUM(C106:C108)</f>
        <v>12500000</v>
      </c>
      <c r="D109" s="42">
        <f>SUM(D106:D108)</f>
        <v>7308430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22.5" customHeight="1" x14ac:dyDescent="0.2">
      <c r="B110" s="4" t="s">
        <v>102</v>
      </c>
      <c r="C110" s="43"/>
      <c r="D110" s="4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2:16" s="5" customFormat="1" hidden="1" x14ac:dyDescent="0.2">
      <c r="B111" s="6" t="s">
        <v>103</v>
      </c>
      <c r="C111" s="32">
        <v>7500000</v>
      </c>
      <c r="D111" s="32">
        <v>611945.04</v>
      </c>
    </row>
    <row r="112" spans="2:16" s="5" customFormat="1" x14ac:dyDescent="0.2">
      <c r="B112" s="27" t="s">
        <v>104</v>
      </c>
      <c r="C112" s="44">
        <f>SUM(C111)</f>
        <v>7500000</v>
      </c>
      <c r="D112" s="44">
        <f>SUM(D111)</f>
        <v>611945.04</v>
      </c>
    </row>
    <row r="113" spans="2:16" s="5" customFormat="1" ht="22.5" customHeight="1" x14ac:dyDescent="0.2">
      <c r="B113" s="15" t="s">
        <v>105</v>
      </c>
      <c r="C113" s="45"/>
      <c r="D113" s="45"/>
    </row>
    <row r="114" spans="2:16" s="5" customFormat="1" hidden="1" x14ac:dyDescent="0.2">
      <c r="B114" s="6" t="s">
        <v>106</v>
      </c>
      <c r="C114" s="9">
        <v>21904000</v>
      </c>
      <c r="D114" s="9">
        <f>1143482+7534412.81</f>
        <v>8677894.8099999987</v>
      </c>
    </row>
    <row r="115" spans="2:16" s="5" customFormat="1" hidden="1" x14ac:dyDescent="0.2">
      <c r="B115" s="46" t="s">
        <v>107</v>
      </c>
      <c r="C115" s="32">
        <v>10000000</v>
      </c>
      <c r="D115" s="32">
        <f>471620.44+2958001+327380.07</f>
        <v>3757001.51</v>
      </c>
    </row>
    <row r="116" spans="2:16" s="5" customFormat="1" x14ac:dyDescent="0.2">
      <c r="B116" s="27" t="s">
        <v>108</v>
      </c>
      <c r="C116" s="44">
        <f>SUM(C114:C115)</f>
        <v>31904000</v>
      </c>
      <c r="D116" s="44">
        <f>SUM(D114:D115)</f>
        <v>12434896.319999998</v>
      </c>
    </row>
    <row r="117" spans="2:16" x14ac:dyDescent="0.2">
      <c r="B117" s="4"/>
      <c r="C117" s="47"/>
      <c r="D117" s="4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2:16" s="5" customFormat="1" x14ac:dyDescent="0.2">
      <c r="B118" s="15" t="s">
        <v>109</v>
      </c>
      <c r="C118" s="28"/>
      <c r="D118" s="28"/>
    </row>
    <row r="119" spans="2:16" s="5" customFormat="1" hidden="1" x14ac:dyDescent="0.2">
      <c r="B119" s="48" t="s">
        <v>110</v>
      </c>
      <c r="C119" s="32">
        <v>70500000</v>
      </c>
      <c r="D119" s="32">
        <f>41480892+21074902.24</f>
        <v>62555794.239999995</v>
      </c>
    </row>
    <row r="120" spans="2:16" s="5" customFormat="1" x14ac:dyDescent="0.2">
      <c r="B120" s="27" t="s">
        <v>111</v>
      </c>
      <c r="C120" s="44">
        <f>SUM(C119)</f>
        <v>70500000</v>
      </c>
      <c r="D120" s="44">
        <f>SUM(D119)</f>
        <v>62555794.239999995</v>
      </c>
    </row>
    <row r="121" spans="2:16" s="5" customFormat="1" x14ac:dyDescent="0.2">
      <c r="B121" s="15"/>
      <c r="C121" s="49"/>
      <c r="D121" s="49"/>
    </row>
    <row r="122" spans="2:16" s="5" customFormat="1" x14ac:dyDescent="0.2">
      <c r="B122" s="15" t="s">
        <v>112</v>
      </c>
      <c r="C122" s="45"/>
      <c r="D122" s="45"/>
    </row>
    <row r="123" spans="2:16" s="5" customFormat="1" hidden="1" x14ac:dyDescent="0.2">
      <c r="B123" s="6" t="s">
        <v>112</v>
      </c>
      <c r="C123" s="32">
        <v>12000000</v>
      </c>
      <c r="D123" s="32">
        <v>9999035.8000000007</v>
      </c>
    </row>
    <row r="124" spans="2:16" s="5" customFormat="1" x14ac:dyDescent="0.2">
      <c r="B124" s="27" t="s">
        <v>113</v>
      </c>
      <c r="C124" s="44">
        <f>SUM(C123)</f>
        <v>12000000</v>
      </c>
      <c r="D124" s="44">
        <f>SUM(D123)</f>
        <v>9999035.8000000007</v>
      </c>
    </row>
    <row r="125" spans="2:16" x14ac:dyDescent="0.2">
      <c r="B125" s="4"/>
      <c r="C125" s="47"/>
      <c r="D125" s="4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22.5" hidden="1" customHeight="1" x14ac:dyDescent="0.25">
      <c r="B126" s="65"/>
      <c r="C126" s="65"/>
      <c r="D126" s="50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25.5" hidden="1" x14ac:dyDescent="0.2">
      <c r="B127" s="3" t="s">
        <v>2</v>
      </c>
      <c r="C127" s="3" t="s">
        <v>3</v>
      </c>
      <c r="D127" s="3" t="s">
        <v>4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idden="1" x14ac:dyDescent="0.2">
      <c r="B128" s="51" t="s">
        <v>114</v>
      </c>
      <c r="C128" s="23"/>
      <c r="D128" s="23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4" s="5" customFormat="1" hidden="1" x14ac:dyDescent="0.2">
      <c r="B129" s="8" t="s">
        <v>66</v>
      </c>
      <c r="C129" s="9">
        <v>600000</v>
      </c>
      <c r="D129" s="9">
        <f>113200+323040.66+181128.8+805850.31</f>
        <v>1423219.77</v>
      </c>
    </row>
    <row r="130" spans="2:4" s="5" customFormat="1" hidden="1" x14ac:dyDescent="0.2">
      <c r="B130" s="8" t="s">
        <v>115</v>
      </c>
      <c r="C130" s="9">
        <v>600000</v>
      </c>
      <c r="D130" s="9">
        <f>156442.26+115485</f>
        <v>271927.26</v>
      </c>
    </row>
    <row r="131" spans="2:4" s="5" customFormat="1" hidden="1" x14ac:dyDescent="0.2">
      <c r="B131" s="8" t="s">
        <v>116</v>
      </c>
      <c r="C131" s="9">
        <v>500000</v>
      </c>
      <c r="D131" s="9">
        <v>138185</v>
      </c>
    </row>
    <row r="132" spans="2:4" s="5" customFormat="1" hidden="1" x14ac:dyDescent="0.2">
      <c r="B132" s="8" t="s">
        <v>117</v>
      </c>
      <c r="C132" s="9">
        <v>500000</v>
      </c>
      <c r="D132" s="9">
        <v>0</v>
      </c>
    </row>
    <row r="133" spans="2:4" s="5" customFormat="1" hidden="1" x14ac:dyDescent="0.2">
      <c r="B133" s="8" t="s">
        <v>118</v>
      </c>
      <c r="C133" s="9">
        <v>500000</v>
      </c>
      <c r="D133" s="9">
        <v>402800</v>
      </c>
    </row>
    <row r="134" spans="2:4" s="5" customFormat="1" ht="12.75" hidden="1" thickBot="1" x14ac:dyDescent="0.25">
      <c r="B134" s="8" t="s">
        <v>119</v>
      </c>
      <c r="C134" s="52">
        <v>300000</v>
      </c>
      <c r="D134" s="52">
        <v>0</v>
      </c>
    </row>
    <row r="135" spans="2:4" s="5" customFormat="1" hidden="1" x14ac:dyDescent="0.2">
      <c r="B135" s="53" t="s">
        <v>120</v>
      </c>
      <c r="C135" s="54">
        <f>SUM(C129:C134)</f>
        <v>3000000</v>
      </c>
      <c r="D135" s="54">
        <f>SUM(D129:D134)</f>
        <v>2236132.0300000003</v>
      </c>
    </row>
    <row r="136" spans="2:4" s="5" customFormat="1" hidden="1" x14ac:dyDescent="0.2">
      <c r="B136" s="55"/>
      <c r="C136" s="49"/>
      <c r="D136" s="49"/>
    </row>
    <row r="137" spans="2:4" s="5" customFormat="1" hidden="1" x14ac:dyDescent="0.2">
      <c r="B137" s="55" t="s">
        <v>121</v>
      </c>
      <c r="C137" s="36"/>
      <c r="D137" s="36"/>
    </row>
    <row r="138" spans="2:4" s="5" customFormat="1" ht="12.75" hidden="1" thickBot="1" x14ac:dyDescent="0.25">
      <c r="B138" s="46" t="s">
        <v>66</v>
      </c>
      <c r="C138" s="52">
        <v>400000</v>
      </c>
      <c r="D138" s="52">
        <v>312045</v>
      </c>
    </row>
    <row r="139" spans="2:4" s="5" customFormat="1" hidden="1" x14ac:dyDescent="0.2">
      <c r="B139" s="53" t="s">
        <v>120</v>
      </c>
      <c r="C139" s="54">
        <f>SUM(C138)</f>
        <v>400000</v>
      </c>
      <c r="D139" s="54">
        <f>SUM(D138)</f>
        <v>312045</v>
      </c>
    </row>
    <row r="140" spans="2:4" s="5" customFormat="1" hidden="1" x14ac:dyDescent="0.2">
      <c r="B140" s="55"/>
      <c r="C140" s="49"/>
      <c r="D140" s="49"/>
    </row>
    <row r="141" spans="2:4" s="5" customFormat="1" hidden="1" x14ac:dyDescent="0.2">
      <c r="B141" s="55" t="s">
        <v>122</v>
      </c>
      <c r="C141" s="36"/>
      <c r="D141" s="36"/>
    </row>
    <row r="142" spans="2:4" s="5" customFormat="1" ht="12.75" hidden="1" thickBot="1" x14ac:dyDescent="0.25">
      <c r="B142" s="46" t="s">
        <v>66</v>
      </c>
      <c r="C142" s="52">
        <v>400000</v>
      </c>
      <c r="D142" s="52">
        <v>33450</v>
      </c>
    </row>
    <row r="143" spans="2:4" s="5" customFormat="1" hidden="1" x14ac:dyDescent="0.2">
      <c r="B143" s="53" t="s">
        <v>120</v>
      </c>
      <c r="C143" s="54">
        <f>SUM(C142)</f>
        <v>400000</v>
      </c>
      <c r="D143" s="54">
        <f>SUM(D142)</f>
        <v>33450</v>
      </c>
    </row>
    <row r="144" spans="2:4" s="5" customFormat="1" hidden="1" x14ac:dyDescent="0.2">
      <c r="B144" s="55"/>
      <c r="C144" s="49"/>
      <c r="D144" s="49"/>
    </row>
    <row r="145" spans="2:4" s="5" customFormat="1" hidden="1" x14ac:dyDescent="0.2">
      <c r="B145" s="55" t="s">
        <v>123</v>
      </c>
      <c r="C145" s="36"/>
      <c r="D145" s="36"/>
    </row>
    <row r="146" spans="2:4" s="5" customFormat="1" hidden="1" x14ac:dyDescent="0.2">
      <c r="B146" s="46" t="s">
        <v>66</v>
      </c>
      <c r="C146" s="9">
        <v>400000</v>
      </c>
      <c r="D146" s="9">
        <v>21000</v>
      </c>
    </row>
    <row r="147" spans="2:4" s="5" customFormat="1" ht="12.75" hidden="1" thickBot="1" x14ac:dyDescent="0.25">
      <c r="B147" s="46" t="s">
        <v>124</v>
      </c>
      <c r="C147" s="52">
        <v>1500000</v>
      </c>
      <c r="D147" s="52">
        <v>0</v>
      </c>
    </row>
    <row r="148" spans="2:4" s="5" customFormat="1" hidden="1" x14ac:dyDescent="0.2">
      <c r="B148" s="53" t="s">
        <v>120</v>
      </c>
      <c r="C148" s="54">
        <f>SUM(C146:C147)</f>
        <v>1900000</v>
      </c>
      <c r="D148" s="54">
        <f>SUM(D146:D147)</f>
        <v>21000</v>
      </c>
    </row>
    <row r="149" spans="2:4" s="5" customFormat="1" hidden="1" x14ac:dyDescent="0.2">
      <c r="B149" s="55"/>
      <c r="C149" s="49"/>
      <c r="D149" s="49"/>
    </row>
    <row r="150" spans="2:4" s="5" customFormat="1" hidden="1" x14ac:dyDescent="0.2">
      <c r="B150" s="55" t="s">
        <v>125</v>
      </c>
      <c r="C150" s="36"/>
      <c r="D150" s="36"/>
    </row>
    <row r="151" spans="2:4" s="5" customFormat="1" ht="12.75" hidden="1" thickBot="1" x14ac:dyDescent="0.25">
      <c r="B151" s="46" t="s">
        <v>126</v>
      </c>
      <c r="C151" s="52">
        <v>400000</v>
      </c>
      <c r="D151" s="52">
        <v>259937.09</v>
      </c>
    </row>
    <row r="152" spans="2:4" s="5" customFormat="1" hidden="1" x14ac:dyDescent="0.2">
      <c r="B152" s="53" t="s">
        <v>127</v>
      </c>
      <c r="C152" s="54">
        <f>SUM(C151)</f>
        <v>400000</v>
      </c>
      <c r="D152" s="54">
        <f>SUM(D151)</f>
        <v>259937.09</v>
      </c>
    </row>
    <row r="153" spans="2:4" s="5" customFormat="1" hidden="1" x14ac:dyDescent="0.2">
      <c r="B153" s="55"/>
      <c r="C153" s="49"/>
      <c r="D153" s="49"/>
    </row>
    <row r="154" spans="2:4" s="5" customFormat="1" hidden="1" x14ac:dyDescent="0.2">
      <c r="B154" s="55" t="s">
        <v>128</v>
      </c>
      <c r="C154" s="49"/>
      <c r="D154" s="49"/>
    </row>
    <row r="155" spans="2:4" s="5" customFormat="1" ht="12.75" hidden="1" thickBot="1" x14ac:dyDescent="0.25">
      <c r="B155" s="46" t="s">
        <v>66</v>
      </c>
      <c r="C155" s="52">
        <v>200000</v>
      </c>
      <c r="D155" s="52">
        <v>72400</v>
      </c>
    </row>
    <row r="156" spans="2:4" s="5" customFormat="1" hidden="1" x14ac:dyDescent="0.2">
      <c r="B156" s="53" t="s">
        <v>127</v>
      </c>
      <c r="C156" s="54">
        <f>SUM(C155)</f>
        <v>200000</v>
      </c>
      <c r="D156" s="54">
        <f>SUM(D155)</f>
        <v>72400</v>
      </c>
    </row>
    <row r="157" spans="2:4" s="5" customFormat="1" hidden="1" x14ac:dyDescent="0.2">
      <c r="B157" s="55"/>
      <c r="C157" s="49"/>
      <c r="D157" s="49"/>
    </row>
    <row r="158" spans="2:4" s="5" customFormat="1" hidden="1" x14ac:dyDescent="0.2">
      <c r="B158" s="55" t="s">
        <v>129</v>
      </c>
      <c r="C158" s="49"/>
      <c r="D158" s="49"/>
    </row>
    <row r="159" spans="2:4" s="5" customFormat="1" hidden="1" x14ac:dyDescent="0.2">
      <c r="B159" s="46" t="s">
        <v>66</v>
      </c>
      <c r="C159" s="9">
        <v>400000</v>
      </c>
      <c r="D159" s="9">
        <f>109795+33345</f>
        <v>143140</v>
      </c>
    </row>
    <row r="160" spans="2:4" s="5" customFormat="1" ht="12.75" hidden="1" thickBot="1" x14ac:dyDescent="0.25">
      <c r="B160" s="46" t="s">
        <v>130</v>
      </c>
      <c r="C160" s="52">
        <v>600000</v>
      </c>
      <c r="D160" s="52">
        <v>0</v>
      </c>
    </row>
    <row r="161" spans="2:16" s="5" customFormat="1" hidden="1" x14ac:dyDescent="0.2">
      <c r="B161" s="53" t="s">
        <v>127</v>
      </c>
      <c r="C161" s="54">
        <f>SUM(C159:C160)</f>
        <v>1000000</v>
      </c>
      <c r="D161" s="54">
        <f>SUM(D159:D160)</f>
        <v>143140</v>
      </c>
    </row>
    <row r="162" spans="2:16" s="5" customFormat="1" hidden="1" x14ac:dyDescent="0.2">
      <c r="B162" s="55"/>
      <c r="C162" s="49"/>
      <c r="D162" s="49"/>
    </row>
    <row r="163" spans="2:16" s="5" customFormat="1" hidden="1" x14ac:dyDescent="0.2">
      <c r="B163" s="55" t="s">
        <v>131</v>
      </c>
      <c r="C163" s="36"/>
      <c r="D163" s="36"/>
    </row>
    <row r="164" spans="2:16" s="5" customFormat="1" hidden="1" x14ac:dyDescent="0.2">
      <c r="B164" s="46" t="s">
        <v>66</v>
      </c>
      <c r="C164" s="9">
        <v>400000</v>
      </c>
      <c r="D164" s="9">
        <v>0</v>
      </c>
    </row>
    <row r="165" spans="2:16" s="5" customFormat="1" ht="12.75" hidden="1" thickBot="1" x14ac:dyDescent="0.25">
      <c r="B165" s="46" t="s">
        <v>124</v>
      </c>
      <c r="C165" s="52">
        <v>2900000</v>
      </c>
      <c r="D165" s="52">
        <v>2227995</v>
      </c>
    </row>
    <row r="166" spans="2:16" s="5" customFormat="1" hidden="1" x14ac:dyDescent="0.2">
      <c r="B166" s="27" t="s">
        <v>127</v>
      </c>
      <c r="C166" s="54">
        <f>SUM(C164:C165)</f>
        <v>3300000</v>
      </c>
      <c r="D166" s="54">
        <f>SUM(D164:D165)</f>
        <v>2227995</v>
      </c>
    </row>
    <row r="167" spans="2:16" s="5" customFormat="1" hidden="1" x14ac:dyDescent="0.2">
      <c r="B167" s="15"/>
      <c r="C167" s="49"/>
      <c r="D167" s="49"/>
    </row>
    <row r="168" spans="2:16" s="5" customFormat="1" hidden="1" x14ac:dyDescent="0.2">
      <c r="B168" s="55" t="s">
        <v>132</v>
      </c>
      <c r="C168" s="36"/>
      <c r="D168" s="36"/>
    </row>
    <row r="169" spans="2:16" s="5" customFormat="1" ht="12.75" hidden="1" thickBot="1" x14ac:dyDescent="0.25">
      <c r="B169" s="46" t="s">
        <v>133</v>
      </c>
      <c r="C169" s="52">
        <v>4000000</v>
      </c>
      <c r="D169" s="52">
        <v>4462107.49</v>
      </c>
    </row>
    <row r="170" spans="2:16" s="5" customFormat="1" hidden="1" x14ac:dyDescent="0.2">
      <c r="B170" s="27" t="s">
        <v>127</v>
      </c>
      <c r="C170" s="54">
        <f>SUM(C169)</f>
        <v>4000000</v>
      </c>
      <c r="D170" s="54">
        <f>SUM(D169)</f>
        <v>4462107.49</v>
      </c>
    </row>
    <row r="171" spans="2:16" s="5" customFormat="1" hidden="1" x14ac:dyDescent="0.2">
      <c r="B171" s="15"/>
      <c r="C171" s="49"/>
      <c r="D171" s="49"/>
    </row>
    <row r="172" spans="2:16" ht="15" hidden="1" customHeight="1" x14ac:dyDescent="0.25">
      <c r="B172" s="65"/>
      <c r="C172" s="65"/>
      <c r="D172" s="50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5.5" hidden="1" x14ac:dyDescent="0.2">
      <c r="B173" s="3" t="s">
        <v>2</v>
      </c>
      <c r="C173" s="3" t="s">
        <v>3</v>
      </c>
      <c r="D173" s="3" t="s">
        <v>4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s="5" customFormat="1" hidden="1" x14ac:dyDescent="0.2">
      <c r="B174" s="55" t="s">
        <v>134</v>
      </c>
      <c r="C174" s="36"/>
      <c r="D174" s="36"/>
    </row>
    <row r="175" spans="2:16" s="5" customFormat="1" ht="12.75" hidden="1" thickBot="1" x14ac:dyDescent="0.25">
      <c r="B175" s="46" t="s">
        <v>135</v>
      </c>
      <c r="C175" s="52">
        <v>5000000</v>
      </c>
      <c r="D175" s="52">
        <v>5940373.9199999999</v>
      </c>
    </row>
    <row r="176" spans="2:16" s="5" customFormat="1" hidden="1" x14ac:dyDescent="0.2">
      <c r="B176" s="27" t="s">
        <v>127</v>
      </c>
      <c r="C176" s="54">
        <f>SUM(C175)</f>
        <v>5000000</v>
      </c>
      <c r="D176" s="54">
        <f>SUM(D175)</f>
        <v>5940373.9199999999</v>
      </c>
    </row>
    <row r="177" spans="2:4" s="5" customFormat="1" hidden="1" x14ac:dyDescent="0.2">
      <c r="B177" s="15"/>
      <c r="C177" s="49"/>
      <c r="D177" s="49"/>
    </row>
    <row r="178" spans="2:4" s="5" customFormat="1" hidden="1" x14ac:dyDescent="0.2">
      <c r="B178" s="15" t="s">
        <v>136</v>
      </c>
      <c r="C178" s="35"/>
      <c r="D178" s="35"/>
    </row>
    <row r="179" spans="2:4" s="5" customFormat="1" ht="12.75" hidden="1" thickBot="1" x14ac:dyDescent="0.25">
      <c r="B179" s="46" t="s">
        <v>135</v>
      </c>
      <c r="C179" s="52">
        <v>200000</v>
      </c>
      <c r="D179" s="52">
        <v>0</v>
      </c>
    </row>
    <row r="180" spans="2:4" s="5" customFormat="1" hidden="1" x14ac:dyDescent="0.2">
      <c r="B180" s="27" t="s">
        <v>127</v>
      </c>
      <c r="C180" s="54">
        <f>SUM(C179)</f>
        <v>200000</v>
      </c>
      <c r="D180" s="54">
        <f>SUM(D179)</f>
        <v>0</v>
      </c>
    </row>
    <row r="181" spans="2:4" s="5" customFormat="1" hidden="1" x14ac:dyDescent="0.2">
      <c r="B181" s="15"/>
      <c r="C181" s="49"/>
      <c r="D181" s="49"/>
    </row>
    <row r="182" spans="2:4" s="5" customFormat="1" hidden="1" x14ac:dyDescent="0.2">
      <c r="B182" s="15" t="s">
        <v>137</v>
      </c>
      <c r="C182" s="35"/>
      <c r="D182" s="35"/>
    </row>
    <row r="183" spans="2:4" s="5" customFormat="1" ht="12.75" hidden="1" thickBot="1" x14ac:dyDescent="0.25">
      <c r="B183" s="46" t="s">
        <v>135</v>
      </c>
      <c r="C183" s="52">
        <v>800000</v>
      </c>
      <c r="D183" s="52">
        <v>1113333.4099999999</v>
      </c>
    </row>
    <row r="184" spans="2:4" s="5" customFormat="1" hidden="1" x14ac:dyDescent="0.2">
      <c r="B184" s="27" t="s">
        <v>127</v>
      </c>
      <c r="C184" s="54">
        <f>SUM(C183)</f>
        <v>800000</v>
      </c>
      <c r="D184" s="54">
        <f>SUM(D183)</f>
        <v>1113333.4099999999</v>
      </c>
    </row>
    <row r="185" spans="2:4" s="5" customFormat="1" hidden="1" x14ac:dyDescent="0.2">
      <c r="B185" s="15"/>
      <c r="C185" s="49"/>
      <c r="D185" s="49"/>
    </row>
    <row r="186" spans="2:4" s="5" customFormat="1" hidden="1" x14ac:dyDescent="0.2">
      <c r="B186" s="15" t="s">
        <v>138</v>
      </c>
      <c r="C186" s="49"/>
      <c r="D186" s="49"/>
    </row>
    <row r="187" spans="2:4" s="5" customFormat="1" hidden="1" x14ac:dyDescent="0.2">
      <c r="B187" s="46" t="s">
        <v>135</v>
      </c>
      <c r="C187" s="9">
        <v>800000</v>
      </c>
      <c r="D187" s="9">
        <v>384139.06</v>
      </c>
    </row>
    <row r="188" spans="2:4" s="5" customFormat="1" ht="12.75" hidden="1" thickBot="1" x14ac:dyDescent="0.25">
      <c r="B188" s="46" t="s">
        <v>124</v>
      </c>
      <c r="C188" s="52">
        <v>5620000</v>
      </c>
      <c r="D188" s="52">
        <v>2895102.23</v>
      </c>
    </row>
    <row r="189" spans="2:4" s="5" customFormat="1" hidden="1" x14ac:dyDescent="0.2">
      <c r="B189" s="27" t="s">
        <v>127</v>
      </c>
      <c r="C189" s="54">
        <f>SUM(C187:C188)</f>
        <v>6420000</v>
      </c>
      <c r="D189" s="54">
        <f>SUM(D187:D188)</f>
        <v>3279241.29</v>
      </c>
    </row>
    <row r="190" spans="2:4" s="5" customFormat="1" hidden="1" x14ac:dyDescent="0.2">
      <c r="B190" s="15"/>
      <c r="C190" s="49"/>
      <c r="D190" s="49"/>
    </row>
    <row r="191" spans="2:4" s="5" customFormat="1" hidden="1" x14ac:dyDescent="0.2">
      <c r="B191" s="15" t="s">
        <v>139</v>
      </c>
      <c r="C191" s="49"/>
      <c r="D191" s="49"/>
    </row>
    <row r="192" spans="2:4" s="5" customFormat="1" ht="12.75" hidden="1" thickBot="1" x14ac:dyDescent="0.25">
      <c r="B192" s="46" t="s">
        <v>135</v>
      </c>
      <c r="C192" s="52">
        <v>400000</v>
      </c>
      <c r="D192" s="52">
        <v>208737</v>
      </c>
    </row>
    <row r="193" spans="2:4" s="5" customFormat="1" hidden="1" x14ac:dyDescent="0.2">
      <c r="B193" s="27" t="s">
        <v>127</v>
      </c>
      <c r="C193" s="54">
        <f>SUM(C192)</f>
        <v>400000</v>
      </c>
      <c r="D193" s="54">
        <f>SUM(D192)</f>
        <v>208737</v>
      </c>
    </row>
    <row r="194" spans="2:4" s="5" customFormat="1" hidden="1" x14ac:dyDescent="0.2">
      <c r="B194" s="15"/>
      <c r="C194" s="49"/>
      <c r="D194" s="49"/>
    </row>
    <row r="195" spans="2:4" s="5" customFormat="1" hidden="1" x14ac:dyDescent="0.2">
      <c r="B195" s="15" t="s">
        <v>140</v>
      </c>
      <c r="C195" s="49"/>
      <c r="D195" s="49"/>
    </row>
    <row r="196" spans="2:4" s="5" customFormat="1" ht="12.75" hidden="1" thickBot="1" x14ac:dyDescent="0.25">
      <c r="B196" s="46" t="s">
        <v>141</v>
      </c>
      <c r="C196" s="52">
        <v>2000000</v>
      </c>
      <c r="D196" s="52">
        <f>172736+1316580.6</f>
        <v>1489316.6</v>
      </c>
    </row>
    <row r="197" spans="2:4" s="5" customFormat="1" hidden="1" x14ac:dyDescent="0.2">
      <c r="B197" s="27" t="s">
        <v>127</v>
      </c>
      <c r="C197" s="54">
        <f>SUM(C196)</f>
        <v>2000000</v>
      </c>
      <c r="D197" s="54">
        <f>SUM(D196)</f>
        <v>1489316.6</v>
      </c>
    </row>
    <row r="198" spans="2:4" s="5" customFormat="1" hidden="1" x14ac:dyDescent="0.2">
      <c r="B198" s="15"/>
      <c r="C198" s="49"/>
      <c r="D198" s="49"/>
    </row>
    <row r="199" spans="2:4" s="5" customFormat="1" hidden="1" x14ac:dyDescent="0.2">
      <c r="B199" s="15" t="s">
        <v>142</v>
      </c>
      <c r="C199" s="49"/>
      <c r="D199" s="49"/>
    </row>
    <row r="200" spans="2:4" s="5" customFormat="1" ht="12.75" hidden="1" thickBot="1" x14ac:dyDescent="0.25">
      <c r="B200" s="46" t="s">
        <v>135</v>
      </c>
      <c r="C200" s="52">
        <v>400000</v>
      </c>
      <c r="D200" s="52">
        <v>70880</v>
      </c>
    </row>
    <row r="201" spans="2:4" s="5" customFormat="1" hidden="1" x14ac:dyDescent="0.2">
      <c r="B201" s="27" t="s">
        <v>127</v>
      </c>
      <c r="C201" s="54">
        <f>SUM(C200)</f>
        <v>400000</v>
      </c>
      <c r="D201" s="54">
        <f>SUM(D200)</f>
        <v>70880</v>
      </c>
    </row>
    <row r="202" spans="2:4" s="5" customFormat="1" hidden="1" x14ac:dyDescent="0.2">
      <c r="B202" s="15"/>
      <c r="C202" s="49"/>
      <c r="D202" s="49"/>
    </row>
    <row r="203" spans="2:4" s="5" customFormat="1" hidden="1" x14ac:dyDescent="0.2">
      <c r="B203" s="15" t="s">
        <v>143</v>
      </c>
      <c r="C203" s="49"/>
      <c r="D203" s="49"/>
    </row>
    <row r="204" spans="2:4" s="5" customFormat="1" ht="12.75" hidden="1" thickBot="1" x14ac:dyDescent="0.25">
      <c r="B204" s="46" t="s">
        <v>135</v>
      </c>
      <c r="C204" s="52">
        <v>400000</v>
      </c>
      <c r="D204" s="52">
        <v>671939.38</v>
      </c>
    </row>
    <row r="205" spans="2:4" s="5" customFormat="1" hidden="1" x14ac:dyDescent="0.2">
      <c r="B205" s="27" t="s">
        <v>127</v>
      </c>
      <c r="C205" s="54">
        <f>SUM(C204)</f>
        <v>400000</v>
      </c>
      <c r="D205" s="54">
        <f>SUM(D204)</f>
        <v>671939.38</v>
      </c>
    </row>
    <row r="206" spans="2:4" s="5" customFormat="1" hidden="1" x14ac:dyDescent="0.2">
      <c r="B206" s="15"/>
      <c r="C206" s="49"/>
      <c r="D206" s="49"/>
    </row>
    <row r="207" spans="2:4" s="5" customFormat="1" hidden="1" x14ac:dyDescent="0.2">
      <c r="B207" s="15" t="s">
        <v>144</v>
      </c>
      <c r="C207" s="49"/>
      <c r="D207" s="49"/>
    </row>
    <row r="208" spans="2:4" s="5" customFormat="1" ht="12.75" hidden="1" thickBot="1" x14ac:dyDescent="0.25">
      <c r="B208" s="46" t="s">
        <v>135</v>
      </c>
      <c r="C208" s="52">
        <v>200000</v>
      </c>
      <c r="D208" s="52">
        <v>0</v>
      </c>
    </row>
    <row r="209" spans="2:4" s="5" customFormat="1" ht="12.75" hidden="1" thickBot="1" x14ac:dyDescent="0.25">
      <c r="B209" s="27" t="s">
        <v>127</v>
      </c>
      <c r="C209" s="56">
        <f>SUM(C208)</f>
        <v>200000</v>
      </c>
      <c r="D209" s="54">
        <f>SUM(D208)</f>
        <v>0</v>
      </c>
    </row>
    <row r="210" spans="2:4" s="5" customFormat="1" hidden="1" x14ac:dyDescent="0.2">
      <c r="B210" s="15"/>
      <c r="C210" s="49"/>
      <c r="D210" s="49"/>
    </row>
    <row r="211" spans="2:4" s="5" customFormat="1" hidden="1" x14ac:dyDescent="0.2">
      <c r="B211" s="15" t="s">
        <v>145</v>
      </c>
      <c r="C211" s="49"/>
      <c r="D211" s="49"/>
    </row>
    <row r="212" spans="2:4" s="5" customFormat="1" hidden="1" x14ac:dyDescent="0.2">
      <c r="B212" s="46" t="s">
        <v>135</v>
      </c>
      <c r="C212" s="9">
        <v>400000</v>
      </c>
      <c r="D212" s="9">
        <f>374837-266458</f>
        <v>108379</v>
      </c>
    </row>
    <row r="213" spans="2:4" s="5" customFormat="1" ht="12.75" hidden="1" thickBot="1" x14ac:dyDescent="0.25">
      <c r="B213" s="46" t="s">
        <v>130</v>
      </c>
      <c r="C213" s="52">
        <v>1000000</v>
      </c>
      <c r="D213" s="52">
        <v>266458</v>
      </c>
    </row>
    <row r="214" spans="2:4" s="5" customFormat="1" hidden="1" x14ac:dyDescent="0.2">
      <c r="B214" s="27" t="s">
        <v>127</v>
      </c>
      <c r="C214" s="54">
        <f>SUM(C212:C213)</f>
        <v>1400000</v>
      </c>
      <c r="D214" s="54">
        <f>SUM(D212:D213)</f>
        <v>374837</v>
      </c>
    </row>
    <row r="215" spans="2:4" s="5" customFormat="1" hidden="1" x14ac:dyDescent="0.2">
      <c r="B215" s="15"/>
      <c r="C215" s="49"/>
      <c r="D215" s="49"/>
    </row>
    <row r="216" spans="2:4" s="5" customFormat="1" hidden="1" x14ac:dyDescent="0.2">
      <c r="B216" s="15"/>
      <c r="C216" s="49"/>
      <c r="D216" s="49"/>
    </row>
    <row r="217" spans="2:4" s="5" customFormat="1" ht="12.75" thickBot="1" x14ac:dyDescent="0.25">
      <c r="B217" s="27" t="s">
        <v>146</v>
      </c>
      <c r="C217" s="57">
        <f>+C214+C209+C205+C201+C197+C193+C189+C184+C180+C176+C170+C166+C161+C156+C152+C148+C143+C139+C135</f>
        <v>31820000</v>
      </c>
      <c r="D217" s="57">
        <f>+D214+D209+D205+D201+D197+D193+D189+D184+D180+D176+D170+D166+D161+D156+D152+D148+D143+D139+D135</f>
        <v>22916865.210000001</v>
      </c>
    </row>
    <row r="218" spans="2:4" s="5" customFormat="1" ht="12.75" thickTop="1" x14ac:dyDescent="0.2">
      <c r="B218" s="58" t="s">
        <v>147</v>
      </c>
      <c r="C218" s="59">
        <f>+C217+C124+C120+C116+C112+C109+C103+C84+C44</f>
        <v>1090534321.5640364</v>
      </c>
      <c r="D218" s="59">
        <f>+D217+D124+D120+D116+D112+D109+D103+D84+D44</f>
        <v>902398187.44661045</v>
      </c>
    </row>
    <row r="219" spans="2:4" s="5" customFormat="1" x14ac:dyDescent="0.2">
      <c r="B219" s="15"/>
      <c r="C219" s="49"/>
      <c r="D219" s="49"/>
    </row>
    <row r="220" spans="2:4" s="5" customFormat="1" ht="12.75" thickBot="1" x14ac:dyDescent="0.25">
      <c r="B220" s="58" t="s">
        <v>29</v>
      </c>
      <c r="C220" s="60">
        <f>+C30</f>
        <v>1090534321.5633333</v>
      </c>
      <c r="D220" s="60">
        <f>+D30</f>
        <v>1005981108.0366104</v>
      </c>
    </row>
    <row r="221" spans="2:4" s="5" customFormat="1" ht="12.75" thickTop="1" x14ac:dyDescent="0.2">
      <c r="B221" s="58" t="s">
        <v>147</v>
      </c>
      <c r="C221" s="61">
        <f>+C218</f>
        <v>1090534321.5640364</v>
      </c>
      <c r="D221" s="61">
        <f>+D218</f>
        <v>902398187.44661045</v>
      </c>
    </row>
    <row r="222" spans="2:4" ht="12.75" x14ac:dyDescent="0.2">
      <c r="C222" s="62"/>
      <c r="D222" s="62"/>
    </row>
    <row r="224" spans="2:4" x14ac:dyDescent="0.2">
      <c r="D224" s="63"/>
    </row>
    <row r="225" spans="4:4" x14ac:dyDescent="0.2">
      <c r="D225" s="64"/>
    </row>
    <row r="226" spans="4:4" x14ac:dyDescent="0.2">
      <c r="D226" s="64"/>
    </row>
    <row r="227" spans="4:4" x14ac:dyDescent="0.2">
      <c r="D227" s="64"/>
    </row>
    <row r="228" spans="4:4" x14ac:dyDescent="0.2">
      <c r="D228" s="63"/>
    </row>
    <row r="229" spans="4:4" x14ac:dyDescent="0.2">
      <c r="D229" s="63"/>
    </row>
  </sheetData>
  <mergeCells count="6">
    <mergeCell ref="B172:C172"/>
    <mergeCell ref="B3:D3"/>
    <mergeCell ref="B4:D4"/>
    <mergeCell ref="B33:D33"/>
    <mergeCell ref="B126:C126"/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Liquidación Presupuestaria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Ivannia Coto Garro</dc:creator>
  <cp:lastModifiedBy>Ivannia Coto Garro</cp:lastModifiedBy>
  <dcterms:created xsi:type="dcterms:W3CDTF">2021-10-08T15:47:56Z</dcterms:created>
  <dcterms:modified xsi:type="dcterms:W3CDTF">2021-10-08T23:07:42Z</dcterms:modified>
</cp:coreProperties>
</file>